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g73005027-my.sharepoint.com/personal/usuario01_g73005027_onmicrosoft_com/Documents/SERVIDOR 2021/CADENA 2022/HERRAMIENTAS_COSTES/"/>
    </mc:Choice>
  </mc:AlternateContent>
  <xr:revisionPtr revIDLastSave="1" documentId="8_{6F5B1490-2CC1-46F9-8942-676C5AC6204E}" xr6:coauthVersionLast="47" xr6:coauthVersionMax="47" xr10:uidLastSave="{8EB0AA6B-10C4-4546-9467-30B3A1E4596A}"/>
  <workbookProtection workbookAlgorithmName="SHA-512" workbookHashValue="CXxK5ap5sOvJ1HzU2xAt7ZMawL6q2lHorvV8VHfpVvs2BlO2f4I87yVxD36rYo7gh6YNNsX5Ac5Xqa/lfjZh9A==" workbookSaltValue="TjOJEd3vOTFHvtP++whlOA==" workbookSpinCount="100000" lockStructure="1"/>
  <bookViews>
    <workbookView xWindow="1485" yWindow="-15870" windowWidth="25440" windowHeight="15270" xr2:uid="{00000000-000D-0000-FFFF-FFFF00000000}"/>
  </bookViews>
  <sheets>
    <sheet name="COSTES LIMONERO VERNA ECO" sheetId="6" r:id="rId1"/>
    <sheet name="AYUDA-1" sheetId="9" r:id="rId2"/>
    <sheet name="AYUDA-2" sheetId="7" r:id="rId3"/>
    <sheet name="costes0" sheetId="1" state="veryHidden" r:id="rId4"/>
    <sheet name="Inversión" sheetId="2" state="veryHidden" r:id="rId5"/>
    <sheet name="COSTES" sheetId="3" state="veryHidden" r:id="rId6"/>
    <sheet name="UTA" sheetId="4" state="veryHidden" r:id="rId7"/>
    <sheet name="fertyfito" sheetId="5" state="veryHidden" r:id="rId8"/>
  </sheets>
  <definedNames>
    <definedName name="_xlnm.Print_Area" localSheetId="0">'COSTES LIMONERO VERNA ECO'!$R$1:$W$85</definedName>
  </definedNames>
  <calcPr calcId="191029"/>
</workbook>
</file>

<file path=xl/calcChain.xml><?xml version="1.0" encoding="utf-8"?>
<calcChain xmlns="http://schemas.openxmlformats.org/spreadsheetml/2006/main">
  <c r="T48" i="6" l="1"/>
  <c r="T46" i="6"/>
  <c r="T77" i="6"/>
  <c r="T75" i="6"/>
  <c r="L10" i="5"/>
  <c r="C20" i="5" s="1"/>
  <c r="J6" i="5"/>
  <c r="J7" i="5" s="1"/>
  <c r="I6" i="5"/>
  <c r="I7" i="5" s="1"/>
  <c r="C17" i="3" l="1"/>
  <c r="C18" i="3"/>
  <c r="C19" i="3"/>
  <c r="C22" i="3"/>
  <c r="K3" i="1"/>
  <c r="C5" i="1"/>
  <c r="B1" i="1"/>
  <c r="A1" i="5" s="1"/>
  <c r="T38" i="6"/>
  <c r="F9" i="2"/>
  <c r="D8" i="2"/>
  <c r="D7" i="2"/>
  <c r="D4" i="2"/>
  <c r="D3" i="2"/>
  <c r="H3" i="1" l="1"/>
  <c r="C45" i="1" s="1"/>
  <c r="C14" i="3" s="1"/>
  <c r="B2" i="3"/>
  <c r="A1" i="4"/>
  <c r="G1" i="1"/>
  <c r="F3" i="2"/>
  <c r="G3" i="2" s="1"/>
  <c r="F7" i="2"/>
  <c r="G7" i="2" s="1"/>
  <c r="F8" i="2"/>
  <c r="G8" i="2" s="1"/>
  <c r="F4" i="2"/>
  <c r="G4" i="2" s="1"/>
  <c r="N14" i="6"/>
  <c r="J59" i="6"/>
  <c r="N18" i="6"/>
  <c r="N24" i="6"/>
  <c r="N67" i="6"/>
  <c r="T106" i="6"/>
  <c r="T104" i="6"/>
  <c r="T102" i="6"/>
  <c r="T100" i="6"/>
  <c r="T98" i="6"/>
  <c r="T96" i="6"/>
  <c r="T94" i="6"/>
  <c r="T92" i="6"/>
  <c r="T90" i="6"/>
  <c r="V85" i="6"/>
  <c r="V83" i="6"/>
  <c r="V82" i="6"/>
  <c r="V77" i="6"/>
  <c r="J77" i="6"/>
  <c r="V75" i="6"/>
  <c r="J75" i="6"/>
  <c r="V73" i="6"/>
  <c r="J73" i="6"/>
  <c r="V71" i="6"/>
  <c r="E71" i="6"/>
  <c r="J71" i="6" s="1"/>
  <c r="V69" i="6"/>
  <c r="J69" i="6"/>
  <c r="V67" i="6"/>
  <c r="J67" i="6"/>
  <c r="V65" i="6"/>
  <c r="J65" i="6"/>
  <c r="V63" i="6"/>
  <c r="J63" i="6"/>
  <c r="V61" i="6"/>
  <c r="J61" i="6"/>
  <c r="V59" i="6"/>
  <c r="V57" i="6"/>
  <c r="J57" i="6"/>
  <c r="V55" i="6"/>
  <c r="J55" i="6"/>
  <c r="V53" i="6"/>
  <c r="J53" i="6"/>
  <c r="V48" i="6"/>
  <c r="J48" i="6"/>
  <c r="V46" i="6"/>
  <c r="J46" i="6"/>
  <c r="V44" i="6"/>
  <c r="J44" i="6"/>
  <c r="V42" i="6"/>
  <c r="J42" i="6"/>
  <c r="V40" i="6"/>
  <c r="J40" i="6"/>
  <c r="V38" i="6"/>
  <c r="J38" i="6"/>
  <c r="V36" i="6"/>
  <c r="J36" i="6"/>
  <c r="V34" i="6"/>
  <c r="J34" i="6"/>
  <c r="V32" i="6"/>
  <c r="J32" i="6"/>
  <c r="J28" i="6"/>
  <c r="V20" i="6" s="1"/>
  <c r="V102" i="6" s="1"/>
  <c r="J26" i="6"/>
  <c r="J24" i="6"/>
  <c r="J18" i="6"/>
  <c r="L18" i="6" s="1"/>
  <c r="J16" i="6"/>
  <c r="AC6" i="6"/>
  <c r="AC4" i="6" s="1"/>
  <c r="AD4" i="6" s="1"/>
  <c r="H10" i="6" s="1"/>
  <c r="S2" i="6"/>
  <c r="C45" i="2"/>
  <c r="C9" i="2" s="1"/>
  <c r="D9" i="2" s="1"/>
  <c r="G9" i="2" s="1"/>
  <c r="I9" i="2" s="1"/>
  <c r="C39" i="2"/>
  <c r="C22" i="1"/>
  <c r="C14" i="1"/>
  <c r="C13" i="5"/>
  <c r="E13" i="5"/>
  <c r="O8" i="5"/>
  <c r="K7" i="5"/>
  <c r="M6" i="5"/>
  <c r="L6" i="5"/>
  <c r="K6" i="5"/>
  <c r="K5" i="5"/>
  <c r="L2" i="5"/>
  <c r="W28" i="5"/>
  <c r="W19" i="5"/>
  <c r="X19" i="5" s="1"/>
  <c r="Z19" i="5" s="1"/>
  <c r="V13" i="5" s="1"/>
  <c r="N69" i="6"/>
  <c r="C3" i="4"/>
  <c r="C21" i="1"/>
  <c r="C15" i="3" s="1"/>
  <c r="D5" i="1"/>
  <c r="N22" i="6"/>
  <c r="C49" i="1"/>
  <c r="C46" i="1"/>
  <c r="N59" i="6"/>
  <c r="N63" i="6"/>
  <c r="C51" i="1"/>
  <c r="C47" i="1"/>
  <c r="C27" i="2"/>
  <c r="C5" i="2" s="1"/>
  <c r="C33" i="1"/>
  <c r="H7" i="1"/>
  <c r="H8" i="1" s="1"/>
  <c r="C52" i="1" s="1"/>
  <c r="C25" i="3" s="1"/>
  <c r="H18" i="3"/>
  <c r="E4" i="4"/>
  <c r="D2" i="1"/>
  <c r="K23" i="3"/>
  <c r="N23" i="3" s="1"/>
  <c r="O23" i="3" s="1"/>
  <c r="C15" i="5"/>
  <c r="E15" i="5" s="1"/>
  <c r="C12" i="5"/>
  <c r="E12" i="5" s="1"/>
  <c r="N28" i="6"/>
  <c r="N12" i="6" l="1"/>
  <c r="D5" i="2"/>
  <c r="C20" i="3" s="1"/>
  <c r="N65" i="6" s="1"/>
  <c r="Q65" i="6" s="1"/>
  <c r="C6" i="2"/>
  <c r="D6" i="2" s="1"/>
  <c r="F6" i="2" s="1"/>
  <c r="G6" i="2" s="1"/>
  <c r="E22" i="6"/>
  <c r="J20" i="6"/>
  <c r="L20" i="6" s="1"/>
  <c r="L4" i="3"/>
  <c r="C23" i="3"/>
  <c r="H23" i="3" s="1"/>
  <c r="C10" i="2"/>
  <c r="D10" i="2" s="1"/>
  <c r="F5" i="2"/>
  <c r="G5" i="2" s="1"/>
  <c r="I5" i="2" s="1"/>
  <c r="C7" i="3" s="1"/>
  <c r="N44" i="6"/>
  <c r="Q44" i="6" s="1"/>
  <c r="C11" i="3"/>
  <c r="Q67" i="6"/>
  <c r="M23" i="3"/>
  <c r="N73" i="6"/>
  <c r="Q73" i="6" s="1"/>
  <c r="C2" i="4"/>
  <c r="L3" i="3"/>
  <c r="N2" i="5"/>
  <c r="N8" i="5" s="1"/>
  <c r="C35" i="1"/>
  <c r="D28" i="1" s="1"/>
  <c r="L8" i="5"/>
  <c r="D22" i="1"/>
  <c r="K2" i="5"/>
  <c r="K8" i="5" s="1"/>
  <c r="M2" i="5"/>
  <c r="M8" i="5" s="1"/>
  <c r="C16" i="5"/>
  <c r="E16" i="5" s="1"/>
  <c r="B8" i="4"/>
  <c r="Q69" i="6"/>
  <c r="Q63" i="6"/>
  <c r="Q59" i="6"/>
  <c r="E51" i="6"/>
  <c r="V51" i="6" s="1"/>
  <c r="J30" i="6"/>
  <c r="E30" i="6"/>
  <c r="V30" i="6" s="1"/>
  <c r="J51" i="6"/>
  <c r="V22" i="6"/>
  <c r="V104" i="6" s="1"/>
  <c r="J22" i="6"/>
  <c r="Q22" i="6" s="1"/>
  <c r="I6" i="2"/>
  <c r="C8" i="3" s="1"/>
  <c r="I8" i="2"/>
  <c r="C10" i="3" s="1"/>
  <c r="I7" i="2"/>
  <c r="C9" i="3" s="1"/>
  <c r="I4" i="2"/>
  <c r="C6" i="3" s="1"/>
  <c r="I3" i="2"/>
  <c r="C4" i="4"/>
  <c r="B9" i="4"/>
  <c r="C14" i="5"/>
  <c r="E14" i="5" s="1"/>
  <c r="N61" i="6"/>
  <c r="Q61" i="6" s="1"/>
  <c r="N55" i="6"/>
  <c r="Q55" i="6" s="1"/>
  <c r="D13" i="1"/>
  <c r="D7" i="1"/>
  <c r="N16" i="6" s="1"/>
  <c r="E5" i="4"/>
  <c r="D40" i="1"/>
  <c r="N32" i="6" l="1"/>
  <c r="C5" i="3"/>
  <c r="C16" i="3"/>
  <c r="N57" i="6" s="1"/>
  <c r="Q57" i="6" s="1"/>
  <c r="E17" i="5"/>
  <c r="N26" i="6"/>
  <c r="N71" i="6"/>
  <c r="Q71" i="6" s="1"/>
  <c r="V16" i="6"/>
  <c r="V98" i="6" s="1"/>
  <c r="V81" i="6"/>
  <c r="V10" i="6"/>
  <c r="V92" i="6" s="1"/>
  <c r="V14" i="6"/>
  <c r="V96" i="6" s="1"/>
  <c r="E81" i="6"/>
  <c r="J81" i="6"/>
  <c r="V8" i="6"/>
  <c r="N34" i="6"/>
  <c r="Q34" i="6" s="1"/>
  <c r="N36" i="6"/>
  <c r="Q36" i="6" s="1"/>
  <c r="N40" i="6"/>
  <c r="Q40" i="6" s="1"/>
  <c r="N42" i="6"/>
  <c r="Q42" i="6" s="1"/>
  <c r="N38" i="6"/>
  <c r="Q38" i="6" s="1"/>
  <c r="I10" i="2"/>
  <c r="C4" i="3" s="1"/>
  <c r="Q32" i="6"/>
  <c r="D54" i="1"/>
  <c r="D55" i="1" s="1"/>
  <c r="N20" i="6"/>
  <c r="N53" i="6"/>
  <c r="C13" i="3" l="1"/>
  <c r="C27" i="3" s="1"/>
  <c r="E16" i="3" s="1"/>
  <c r="N30" i="6"/>
  <c r="V12" i="6"/>
  <c r="V94" i="6" s="1"/>
  <c r="V24" i="6"/>
  <c r="V106" i="6" s="1"/>
  <c r="V90" i="6"/>
  <c r="Q53" i="6"/>
  <c r="N51" i="6"/>
  <c r="N81" i="6" l="1"/>
  <c r="I3" i="3"/>
  <c r="L5" i="3" s="1"/>
  <c r="E21" i="3"/>
  <c r="E20" i="3"/>
  <c r="E18" i="3"/>
  <c r="C31" i="3"/>
  <c r="K22" i="3" s="1"/>
  <c r="E27" i="3"/>
  <c r="E9" i="3"/>
  <c r="E7" i="3"/>
  <c r="E23" i="3"/>
  <c r="E24" i="3"/>
  <c r="E8" i="3"/>
  <c r="E25" i="3"/>
  <c r="E10" i="3"/>
  <c r="E6" i="3"/>
  <c r="E14" i="3"/>
  <c r="E22" i="3"/>
  <c r="E11" i="3"/>
  <c r="E15" i="3"/>
  <c r="E17" i="3"/>
  <c r="E5" i="3"/>
  <c r="E19" i="3"/>
  <c r="I7" i="3"/>
  <c r="I9" i="3" s="1"/>
  <c r="K21" i="3"/>
  <c r="I8" i="3"/>
  <c r="I5" i="3" l="1"/>
  <c r="I4" i="3"/>
  <c r="I6" i="3"/>
  <c r="E13" i="3"/>
  <c r="E4" i="3"/>
  <c r="N22" i="3"/>
  <c r="O22" i="3" s="1"/>
  <c r="M22" i="3"/>
  <c r="N21" i="3"/>
  <c r="O21" i="3" s="1"/>
  <c r="M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PEDRO</author>
    <author>GARCIA GARCIA, JOSE</author>
  </authors>
  <commentList>
    <comment ref="E8" authorId="0" shapeId="0" xr:uid="{00000000-0006-0000-0000-000001000000}">
      <text>
        <r>
          <rPr>
            <b/>
            <sz val="9"/>
            <color indexed="81"/>
            <rFont val="Tahoma"/>
            <family val="2"/>
          </rPr>
          <t>Introducir el titular de la explotación</t>
        </r>
        <r>
          <rPr>
            <sz val="9"/>
            <color indexed="81"/>
            <rFont val="Tahoma"/>
            <family val="2"/>
          </rPr>
          <t xml:space="preserve">
</t>
        </r>
      </text>
    </comment>
    <comment ref="J10" authorId="0" shapeId="0" xr:uid="{00000000-0006-0000-0000-000002000000}">
      <text>
        <r>
          <rPr>
            <b/>
            <sz val="9"/>
            <color indexed="81"/>
            <rFont val="Tahoma"/>
            <family val="2"/>
          </rPr>
          <t xml:space="preserve">Lugar de la finca:
</t>
        </r>
        <r>
          <rPr>
            <sz val="9"/>
            <color indexed="81"/>
            <rFont val="Tahoma"/>
            <family val="2"/>
          </rPr>
          <t xml:space="preserve">(Paraje / Término Municipal)
</t>
        </r>
      </text>
    </comment>
    <comment ref="E12" authorId="0" shapeId="0" xr:uid="{00000000-0006-0000-0000-000003000000}">
      <text>
        <r>
          <rPr>
            <b/>
            <sz val="9"/>
            <color indexed="81"/>
            <rFont val="Tahoma"/>
            <family val="2"/>
          </rPr>
          <t xml:space="preserve">Introducir el Nº de hectáreas de la finca.
NOTA: </t>
        </r>
        <r>
          <rPr>
            <sz val="9"/>
            <color indexed="81"/>
            <rFont val="Tahoma"/>
            <family val="2"/>
          </rPr>
          <t>Para una Ha los valores normales serán cercanos a los de referencia</t>
        </r>
      </text>
    </comment>
    <comment ref="N12" authorId="0" shapeId="0" xr:uid="{00000000-0006-0000-0000-000004000000}">
      <text>
        <r>
          <rPr>
            <b/>
            <sz val="9"/>
            <color indexed="81"/>
            <rFont val="Tahoma"/>
            <family val="2"/>
          </rPr>
          <t xml:space="preserve">REFERENCIA PARA UNA HECTÁREA </t>
        </r>
        <r>
          <rPr>
            <sz val="9"/>
            <color indexed="81"/>
            <rFont val="Tahoma"/>
            <family val="2"/>
          </rPr>
          <t xml:space="preserve">
</t>
        </r>
      </text>
    </comment>
    <comment ref="E14" authorId="0" shapeId="0" xr:uid="{00000000-0006-0000-0000-000005000000}">
      <text>
        <r>
          <rPr>
            <b/>
            <sz val="9"/>
            <color indexed="81"/>
            <rFont val="Tahoma"/>
            <family val="2"/>
          </rPr>
          <t>Introducir el precio unitario de la fruta en €/Kg</t>
        </r>
        <r>
          <rPr>
            <sz val="9"/>
            <color indexed="81"/>
            <rFont val="Tahoma"/>
            <family val="2"/>
          </rPr>
          <t xml:space="preserve">
</t>
        </r>
      </text>
    </comment>
    <comment ref="J14" authorId="0" shapeId="0" xr:uid="{00000000-0006-0000-0000-000006000000}">
      <text>
        <r>
          <rPr>
            <b/>
            <sz val="9"/>
            <color indexed="81"/>
            <rFont val="Tahoma"/>
            <family val="2"/>
          </rPr>
          <t>Introducir el precio unitario del destrío en €</t>
        </r>
        <r>
          <rPr>
            <sz val="9"/>
            <color indexed="81"/>
            <rFont val="Tahoma"/>
            <family val="2"/>
          </rPr>
          <t xml:space="preserve">
</t>
        </r>
      </text>
    </comment>
    <comment ref="L14" authorId="0" shapeId="0" xr:uid="{00000000-0006-0000-0000-000007000000}">
      <text>
        <r>
          <rPr>
            <b/>
            <sz val="9"/>
            <color indexed="81"/>
            <rFont val="Tahoma"/>
            <family val="2"/>
          </rPr>
          <t>Introducir el precio unitario del destrío en €/kg</t>
        </r>
        <r>
          <rPr>
            <sz val="9"/>
            <color indexed="81"/>
            <rFont val="Tahoma"/>
            <family val="2"/>
          </rPr>
          <t xml:space="preserve">
</t>
        </r>
      </text>
    </comment>
    <comment ref="N14" authorId="0" shapeId="0" xr:uid="{00000000-0006-0000-0000-000008000000}">
      <text>
        <r>
          <rPr>
            <b/>
            <sz val="9"/>
            <color indexed="81"/>
            <rFont val="Tahoma"/>
            <family val="2"/>
          </rPr>
          <t xml:space="preserve">REFERENCIA PARA UNA HECTÁREA Producto bruto (Kg/Ha) y precio en €/Kg de limón para fresco
</t>
        </r>
        <r>
          <rPr>
            <sz val="9"/>
            <color indexed="81"/>
            <rFont val="Tahoma"/>
            <family val="2"/>
          </rPr>
          <t xml:space="preserve">
</t>
        </r>
      </text>
    </comment>
    <comment ref="S14" authorId="1" shapeId="0" xr:uid="{00000000-0006-0000-0000-000009000000}">
      <text>
        <r>
          <rPr>
            <b/>
            <sz val="9"/>
            <color indexed="81"/>
            <rFont val="Tahoma"/>
            <family val="2"/>
          </rPr>
          <t xml:space="preserve">Productividad mínima (Kg/Ha) </t>
        </r>
        <r>
          <rPr>
            <sz val="9"/>
            <color indexed="81"/>
            <rFont val="Tahoma"/>
            <family val="2"/>
          </rPr>
          <t xml:space="preserve">que hay que producir para que la explotación sea viable
</t>
        </r>
      </text>
    </comment>
    <comment ref="E16" authorId="0" shapeId="0" xr:uid="{00000000-0006-0000-0000-00000A000000}">
      <text>
        <r>
          <rPr>
            <b/>
            <sz val="9"/>
            <color indexed="81"/>
            <rFont val="Tahoma"/>
            <family val="2"/>
          </rPr>
          <t>Introducir la producción bruta de la finca en Kg (totales)</t>
        </r>
        <r>
          <rPr>
            <sz val="9"/>
            <color indexed="81"/>
            <rFont val="Tahoma"/>
            <family val="2"/>
          </rPr>
          <t xml:space="preserve">
</t>
        </r>
      </text>
    </comment>
    <comment ref="N16" authorId="0" shapeId="0" xr:uid="{00000000-0006-0000-0000-00000B000000}">
      <text>
        <r>
          <rPr>
            <b/>
            <sz val="9"/>
            <color indexed="81"/>
            <rFont val="Tahoma"/>
            <family val="2"/>
          </rPr>
          <t>REFERENCIA PARA UNA HECTÁREA Producción bruta de la finca en €/Ha</t>
        </r>
        <r>
          <rPr>
            <sz val="9"/>
            <color indexed="81"/>
            <rFont val="Tahoma"/>
            <family val="2"/>
          </rPr>
          <t xml:space="preserve">
</t>
        </r>
      </text>
    </comment>
    <comment ref="S16" authorId="1" shapeId="0" xr:uid="{00000000-0006-0000-0000-00000C000000}">
      <text>
        <r>
          <rPr>
            <b/>
            <sz val="9"/>
            <color indexed="81"/>
            <rFont val="Tahoma"/>
            <family val="2"/>
          </rPr>
          <t xml:space="preserve">Coste medio de produccion 
</t>
        </r>
        <r>
          <rPr>
            <sz val="9"/>
            <color indexed="81"/>
            <rFont val="Tahoma"/>
            <family val="2"/>
          </rPr>
          <t xml:space="preserve">UMBRAL DE RENTABILIDAD Coste medio por kg de fruta fresca producida
</t>
        </r>
      </text>
    </comment>
    <comment ref="G18" authorId="0" shapeId="0" xr:uid="{00000000-0006-0000-0000-00000D000000}">
      <text>
        <r>
          <rPr>
            <b/>
            <sz val="9"/>
            <color indexed="81"/>
            <rFont val="Tahoma"/>
            <family val="2"/>
          </rPr>
          <t>Introducir el porcentaje total de destrío</t>
        </r>
        <r>
          <rPr>
            <sz val="9"/>
            <color indexed="81"/>
            <rFont val="Tahoma"/>
            <family val="2"/>
          </rPr>
          <t xml:space="preserve">
</t>
        </r>
      </text>
    </comment>
    <comment ref="J18" authorId="0" shapeId="0" xr:uid="{00000000-0006-0000-0000-00000E000000}">
      <text>
        <r>
          <rPr>
            <sz val="9"/>
            <color indexed="81"/>
            <rFont val="Tahoma"/>
            <family val="2"/>
          </rPr>
          <t xml:space="preserve">Kg de destrío
</t>
        </r>
      </text>
    </comment>
    <comment ref="L18" authorId="0" shapeId="0" xr:uid="{00000000-0006-0000-0000-00000F000000}">
      <text>
        <r>
          <rPr>
            <sz val="9"/>
            <color indexed="81"/>
            <rFont val="Tahoma"/>
            <family val="2"/>
          </rPr>
          <t xml:space="preserve">Kg/Ha de destrío
</t>
        </r>
      </text>
    </comment>
    <comment ref="N18" authorId="0" shapeId="0" xr:uid="{00000000-0006-0000-0000-000010000000}">
      <text>
        <r>
          <rPr>
            <b/>
            <sz val="9"/>
            <color indexed="81"/>
            <rFont val="Tahoma"/>
            <family val="2"/>
          </rPr>
          <t>REFERENCIA PARA UNA HECTÁREA Porcentaje y Precio del destrío €/Kg</t>
        </r>
        <r>
          <rPr>
            <sz val="9"/>
            <color indexed="81"/>
            <rFont val="Tahoma"/>
            <family val="2"/>
          </rPr>
          <t xml:space="preserve">
</t>
        </r>
      </text>
    </comment>
    <comment ref="J20" authorId="0" shapeId="0" xr:uid="{00000000-0006-0000-0000-000011000000}">
      <text>
        <r>
          <rPr>
            <sz val="9"/>
            <color indexed="81"/>
            <rFont val="Tahoma"/>
            <family val="2"/>
          </rPr>
          <t>Precio total del destrío</t>
        </r>
      </text>
    </comment>
    <comment ref="L20" authorId="0" shapeId="0" xr:uid="{00000000-0006-0000-0000-000012000000}">
      <text>
        <r>
          <rPr>
            <sz val="9"/>
            <color indexed="81"/>
            <rFont val="Tahoma"/>
            <family val="2"/>
          </rPr>
          <t xml:space="preserve">Precio del destrío / Hectárea
</t>
        </r>
      </text>
    </comment>
    <comment ref="N20" authorId="0" shapeId="0" xr:uid="{00000000-0006-0000-0000-000013000000}">
      <text>
        <r>
          <rPr>
            <b/>
            <sz val="9"/>
            <color indexed="81"/>
            <rFont val="Tahoma"/>
            <family val="2"/>
          </rPr>
          <t>REFERENCIA PARA UNA HECTÁREA Kg/Ha del Destrío y valor del destrío en €/Ha</t>
        </r>
        <r>
          <rPr>
            <sz val="9"/>
            <color indexed="81"/>
            <rFont val="Tahoma"/>
            <family val="2"/>
          </rPr>
          <t xml:space="preserve">
</t>
        </r>
      </text>
    </comment>
    <comment ref="S20" authorId="0" shapeId="0" xr:uid="{00000000-0006-0000-0000-000014000000}">
      <text>
        <r>
          <rPr>
            <b/>
            <sz val="9"/>
            <color indexed="81"/>
            <rFont val="Tahoma"/>
            <family val="2"/>
          </rPr>
          <t xml:space="preserve">Productividad técnica  del agua
</t>
        </r>
        <r>
          <rPr>
            <sz val="9"/>
            <color indexed="81"/>
            <rFont val="Tahoma"/>
            <family val="2"/>
          </rPr>
          <t>Producción Bruta en Kg por cada m3 de agua consumido</t>
        </r>
      </text>
    </comment>
    <comment ref="C22" authorId="0" shapeId="0" xr:uid="{00000000-0006-0000-0000-000015000000}">
      <text>
        <r>
          <rPr>
            <b/>
            <sz val="9"/>
            <color indexed="81"/>
            <rFont val="Tahoma"/>
            <family val="2"/>
          </rPr>
          <t>PRODUCCIÓN NETA (Contando el Destrío)</t>
        </r>
        <r>
          <rPr>
            <sz val="9"/>
            <color indexed="81"/>
            <rFont val="Tahoma"/>
            <family val="2"/>
          </rPr>
          <t xml:space="preserve">
</t>
        </r>
      </text>
    </comment>
    <comment ref="N22" authorId="0" shapeId="0" xr:uid="{00000000-0006-0000-0000-000016000000}">
      <text>
        <r>
          <rPr>
            <b/>
            <sz val="9"/>
            <color indexed="81"/>
            <rFont val="Tahoma"/>
            <family val="2"/>
          </rPr>
          <t>REFERENCIA PARA UNA HECTÁREA Producción Neta de la finca en €/Ha (aquí está descontado el destrío)</t>
        </r>
        <r>
          <rPr>
            <sz val="9"/>
            <color indexed="81"/>
            <rFont val="Tahoma"/>
            <family val="2"/>
          </rPr>
          <t xml:space="preserve">
</t>
        </r>
      </text>
    </comment>
    <comment ref="S22" authorId="0" shapeId="0" xr:uid="{00000000-0006-0000-0000-000017000000}">
      <text>
        <r>
          <rPr>
            <b/>
            <sz val="9"/>
            <color indexed="81"/>
            <rFont val="Tahoma"/>
            <family val="2"/>
          </rPr>
          <t xml:space="preserve">PRODUCTIVA ECONOMICA BRUTA AGUA Euros / m3
</t>
        </r>
        <r>
          <rPr>
            <sz val="9"/>
            <color indexed="81"/>
            <rFont val="Tahoma"/>
            <family val="2"/>
          </rPr>
          <t>Ingresos brutos en euros por cada m3 de agua consumido</t>
        </r>
      </text>
    </comment>
    <comment ref="E24" authorId="0" shapeId="0" xr:uid="{00000000-0006-0000-0000-000018000000}">
      <text>
        <r>
          <rPr>
            <b/>
            <sz val="9"/>
            <color indexed="81"/>
            <rFont val="Tahoma"/>
            <family val="2"/>
          </rPr>
          <t>Introducir el coste unitario del agua en €/m3</t>
        </r>
      </text>
    </comment>
    <comment ref="N24" authorId="0" shapeId="0" xr:uid="{00000000-0006-0000-0000-000019000000}">
      <text>
        <r>
          <rPr>
            <b/>
            <sz val="9"/>
            <color indexed="81"/>
            <rFont val="Tahoma"/>
            <family val="2"/>
          </rPr>
          <t>REFERENCIA PARA UNA HECTÁREA     Precio unitario del Agua en €/m3</t>
        </r>
        <r>
          <rPr>
            <sz val="9"/>
            <color indexed="81"/>
            <rFont val="Tahoma"/>
            <family val="2"/>
          </rPr>
          <t xml:space="preserve">
</t>
        </r>
      </text>
    </comment>
    <comment ref="S24" authorId="1" shapeId="0" xr:uid="{00000000-0006-0000-0000-00001A000000}">
      <text>
        <r>
          <rPr>
            <b/>
            <sz val="9"/>
            <color indexed="81"/>
            <rFont val="Tahoma"/>
            <family val="2"/>
          </rPr>
          <t>PRODUCTIVIDAD ECONÓMICA NETA AGUA</t>
        </r>
        <r>
          <rPr>
            <sz val="9"/>
            <color indexed="81"/>
            <rFont val="Tahoma"/>
            <family val="2"/>
          </rPr>
          <t xml:space="preserve">
Margen Neto en Euros entre el agua consumida
Margen Neto = Ingresos -  Costes
Ingresos - Costes en euros por cada metro cúbico de agua consumida</t>
        </r>
      </text>
    </comment>
    <comment ref="E26" authorId="0" shapeId="0" xr:uid="{00000000-0006-0000-0000-00001B000000}">
      <text>
        <r>
          <rPr>
            <b/>
            <sz val="9"/>
            <color indexed="81"/>
            <rFont val="Tahoma"/>
            <family val="2"/>
          </rPr>
          <t xml:space="preserve">Introducir el coste total del agua en €
</t>
        </r>
        <r>
          <rPr>
            <sz val="9"/>
            <color indexed="81"/>
            <rFont val="Tahoma"/>
            <family val="2"/>
          </rPr>
          <t xml:space="preserve">El coste total facturado
</t>
        </r>
      </text>
    </comment>
    <comment ref="N26" authorId="0" shapeId="0" xr:uid="{00000000-0006-0000-0000-00001C000000}">
      <text>
        <r>
          <rPr>
            <b/>
            <sz val="9"/>
            <color indexed="81"/>
            <rFont val="Tahoma"/>
            <family val="2"/>
          </rPr>
          <t>REFERENCIA PARA UNA HECTÁREA    Precio del agua por Hectárea</t>
        </r>
        <r>
          <rPr>
            <sz val="9"/>
            <color indexed="81"/>
            <rFont val="Tahoma"/>
            <family val="2"/>
          </rPr>
          <t xml:space="preserve">
</t>
        </r>
      </text>
    </comment>
    <comment ref="N28" authorId="0" shapeId="0" xr:uid="{00000000-0006-0000-0000-00001D000000}">
      <text>
        <r>
          <rPr>
            <b/>
            <sz val="9"/>
            <color indexed="81"/>
            <rFont val="Tahoma"/>
            <family val="2"/>
          </rPr>
          <t>REFERENCIA PARA UNA HECTÁREA Dotación de agua m3/Ha</t>
        </r>
        <r>
          <rPr>
            <sz val="9"/>
            <color indexed="81"/>
            <rFont val="Tahoma"/>
            <family val="2"/>
          </rPr>
          <t xml:space="preserve">
</t>
        </r>
      </text>
    </comment>
    <comment ref="N30" authorId="0" shapeId="0" xr:uid="{00000000-0006-0000-0000-00001E000000}">
      <text>
        <r>
          <rPr>
            <b/>
            <sz val="9"/>
            <color indexed="81"/>
            <rFont val="Tahoma"/>
            <family val="2"/>
          </rPr>
          <t xml:space="preserve">REFERENCIA PARA UNA HECTÁREA </t>
        </r>
        <r>
          <rPr>
            <sz val="9"/>
            <color indexed="81"/>
            <rFont val="Tahoma"/>
            <family val="2"/>
          </rPr>
          <t xml:space="preserve">
</t>
        </r>
      </text>
    </comment>
    <comment ref="G32" authorId="0" shapeId="0" xr:uid="{00000000-0006-0000-0000-00001F000000}">
      <text>
        <r>
          <rPr>
            <b/>
            <sz val="9"/>
            <color indexed="81"/>
            <rFont val="Tahoma"/>
            <family val="2"/>
          </rPr>
          <t>Introducir valores totales en €</t>
        </r>
        <r>
          <rPr>
            <sz val="9"/>
            <color indexed="81"/>
            <rFont val="Tahoma"/>
            <family val="2"/>
          </rPr>
          <t xml:space="preserve">
</t>
        </r>
      </text>
    </comment>
    <comment ref="N32" authorId="0" shapeId="0" xr:uid="{00000000-0006-0000-0000-000020000000}">
      <text>
        <r>
          <rPr>
            <b/>
            <sz val="9"/>
            <color indexed="81"/>
            <rFont val="Tahoma"/>
            <family val="2"/>
          </rPr>
          <t xml:space="preserve">REFERENCIA PARA UNA HECTÁREA </t>
        </r>
        <r>
          <rPr>
            <sz val="9"/>
            <color indexed="81"/>
            <rFont val="Tahoma"/>
            <family val="2"/>
          </rPr>
          <t xml:space="preserve">
</t>
        </r>
      </text>
    </comment>
    <comment ref="G34" authorId="0" shapeId="0" xr:uid="{00000000-0006-0000-0000-000021000000}">
      <text>
        <r>
          <rPr>
            <b/>
            <sz val="9"/>
            <color indexed="81"/>
            <rFont val="Tahoma"/>
            <family val="2"/>
          </rPr>
          <t>Introducir valores totales en €</t>
        </r>
        <r>
          <rPr>
            <sz val="9"/>
            <color indexed="81"/>
            <rFont val="Tahoma"/>
            <family val="2"/>
          </rPr>
          <t xml:space="preserve">
</t>
        </r>
      </text>
    </comment>
    <comment ref="N34" authorId="0" shapeId="0" xr:uid="{00000000-0006-0000-0000-000022000000}">
      <text>
        <r>
          <rPr>
            <b/>
            <sz val="9"/>
            <color indexed="81"/>
            <rFont val="Tahoma"/>
            <family val="2"/>
          </rPr>
          <t xml:space="preserve">REFERENCIA PARA UNA HECTÁREA </t>
        </r>
      </text>
    </comment>
    <comment ref="G36" authorId="0" shapeId="0" xr:uid="{00000000-0006-0000-0000-000023000000}">
      <text>
        <r>
          <rPr>
            <b/>
            <sz val="9"/>
            <color indexed="81"/>
            <rFont val="Tahoma"/>
            <family val="2"/>
          </rPr>
          <t>Introducir valores totales en €</t>
        </r>
        <r>
          <rPr>
            <sz val="9"/>
            <color indexed="81"/>
            <rFont val="Tahoma"/>
            <family val="2"/>
          </rPr>
          <t xml:space="preserve">
</t>
        </r>
      </text>
    </comment>
    <comment ref="N36" authorId="0" shapeId="0" xr:uid="{00000000-0006-0000-0000-000024000000}">
      <text>
        <r>
          <rPr>
            <b/>
            <sz val="9"/>
            <color indexed="81"/>
            <rFont val="Tahoma"/>
            <family val="2"/>
          </rPr>
          <t xml:space="preserve">REFERENCIA PARA UNA HECTÁREA </t>
        </r>
        <r>
          <rPr>
            <sz val="9"/>
            <color indexed="81"/>
            <rFont val="Tahoma"/>
            <family val="2"/>
          </rPr>
          <t xml:space="preserve">
</t>
        </r>
      </text>
    </comment>
    <comment ref="G38" authorId="0" shapeId="0" xr:uid="{00000000-0006-0000-0000-000025000000}">
      <text>
        <r>
          <rPr>
            <b/>
            <sz val="9"/>
            <color indexed="81"/>
            <rFont val="Tahoma"/>
            <family val="2"/>
          </rPr>
          <t>Introducir valores totales en €</t>
        </r>
      </text>
    </comment>
    <comment ref="N38" authorId="0" shapeId="0" xr:uid="{00000000-0006-0000-0000-000026000000}">
      <text>
        <r>
          <rPr>
            <b/>
            <sz val="9"/>
            <color indexed="81"/>
            <rFont val="Tahoma"/>
            <family val="2"/>
          </rPr>
          <t xml:space="preserve">REFERENCIA PARA UNA HECTÁREA </t>
        </r>
        <r>
          <rPr>
            <sz val="9"/>
            <color indexed="81"/>
            <rFont val="Tahoma"/>
            <family val="2"/>
          </rPr>
          <t xml:space="preserve">
</t>
        </r>
      </text>
    </comment>
    <comment ref="G40" authorId="0" shapeId="0" xr:uid="{00000000-0006-0000-0000-000027000000}">
      <text>
        <r>
          <rPr>
            <b/>
            <sz val="9"/>
            <color indexed="81"/>
            <rFont val="Tahoma"/>
            <family val="2"/>
          </rPr>
          <t>Introducir valores totales en €</t>
        </r>
        <r>
          <rPr>
            <sz val="9"/>
            <color indexed="81"/>
            <rFont val="Tahoma"/>
            <family val="2"/>
          </rPr>
          <t xml:space="preserve">
</t>
        </r>
      </text>
    </comment>
    <comment ref="N40" authorId="0" shapeId="0" xr:uid="{00000000-0006-0000-0000-000028000000}">
      <text>
        <r>
          <rPr>
            <b/>
            <sz val="9"/>
            <color indexed="81"/>
            <rFont val="Tahoma"/>
            <family val="2"/>
          </rPr>
          <t xml:space="preserve">REFERENCIA PARA UNA HECTÁREA </t>
        </r>
        <r>
          <rPr>
            <sz val="9"/>
            <color indexed="81"/>
            <rFont val="Tahoma"/>
            <family val="2"/>
          </rPr>
          <t xml:space="preserve">
</t>
        </r>
      </text>
    </comment>
    <comment ref="G42" authorId="0" shapeId="0" xr:uid="{00000000-0006-0000-0000-000029000000}">
      <text>
        <r>
          <rPr>
            <b/>
            <sz val="9"/>
            <color indexed="81"/>
            <rFont val="Tahoma"/>
            <family val="2"/>
          </rPr>
          <t>Introducir valores totales en €</t>
        </r>
        <r>
          <rPr>
            <sz val="9"/>
            <color indexed="81"/>
            <rFont val="Tahoma"/>
            <family val="2"/>
          </rPr>
          <t xml:space="preserve">
</t>
        </r>
      </text>
    </comment>
    <comment ref="N42" authorId="0" shapeId="0" xr:uid="{00000000-0006-0000-0000-00002A000000}">
      <text>
        <r>
          <rPr>
            <b/>
            <sz val="9"/>
            <color indexed="81"/>
            <rFont val="Tahoma"/>
            <family val="2"/>
          </rPr>
          <t xml:space="preserve">REFERENCIA PARA UNA HECTÁREA </t>
        </r>
        <r>
          <rPr>
            <sz val="9"/>
            <color indexed="81"/>
            <rFont val="Tahoma"/>
            <family val="2"/>
          </rPr>
          <t xml:space="preserve">
</t>
        </r>
      </text>
    </comment>
    <comment ref="G44" authorId="0" shapeId="0" xr:uid="{00000000-0006-0000-0000-00002B000000}">
      <text>
        <r>
          <rPr>
            <b/>
            <sz val="9"/>
            <color indexed="81"/>
            <rFont val="Tahoma"/>
            <family val="2"/>
          </rPr>
          <t>Introducir valores totales en €</t>
        </r>
        <r>
          <rPr>
            <sz val="9"/>
            <color indexed="81"/>
            <rFont val="Tahoma"/>
            <family val="2"/>
          </rPr>
          <t xml:space="preserve">
</t>
        </r>
      </text>
    </comment>
    <comment ref="N44" authorId="0" shapeId="0" xr:uid="{00000000-0006-0000-0000-00002C000000}">
      <text>
        <r>
          <rPr>
            <b/>
            <sz val="9"/>
            <color indexed="81"/>
            <rFont val="Tahoma"/>
            <family val="2"/>
          </rPr>
          <t xml:space="preserve">REFERENCIA PARA UNA HECTÁREA </t>
        </r>
        <r>
          <rPr>
            <sz val="9"/>
            <color indexed="81"/>
            <rFont val="Tahoma"/>
            <family val="2"/>
          </rPr>
          <t xml:space="preserve">
</t>
        </r>
      </text>
    </comment>
    <comment ref="G46" authorId="0" shapeId="0" xr:uid="{00000000-0006-0000-0000-00002D000000}">
      <text>
        <r>
          <rPr>
            <b/>
            <sz val="9"/>
            <color indexed="81"/>
            <rFont val="Tahoma"/>
            <family val="2"/>
          </rPr>
          <t>Introducir valores totales en €</t>
        </r>
        <r>
          <rPr>
            <sz val="9"/>
            <color indexed="81"/>
            <rFont val="Tahoma"/>
            <family val="2"/>
          </rPr>
          <t xml:space="preserve">
</t>
        </r>
      </text>
    </comment>
    <comment ref="G48" authorId="0" shapeId="0" xr:uid="{00000000-0006-0000-0000-00002E000000}">
      <text>
        <r>
          <rPr>
            <b/>
            <sz val="9"/>
            <color indexed="81"/>
            <rFont val="Tahoma"/>
            <family val="2"/>
          </rPr>
          <t>Introducir valores totales en €</t>
        </r>
        <r>
          <rPr>
            <sz val="9"/>
            <color indexed="81"/>
            <rFont val="Tahoma"/>
            <family val="2"/>
          </rPr>
          <t xml:space="preserve">
</t>
        </r>
      </text>
    </comment>
    <comment ref="N51" authorId="0" shapeId="0" xr:uid="{00000000-0006-0000-0000-00002F000000}">
      <text>
        <r>
          <rPr>
            <b/>
            <sz val="9"/>
            <color indexed="81"/>
            <rFont val="Tahoma"/>
            <family val="2"/>
          </rPr>
          <t xml:space="preserve">REFERENCIA PARA UNA HECTÁREA </t>
        </r>
        <r>
          <rPr>
            <sz val="9"/>
            <color indexed="81"/>
            <rFont val="Tahoma"/>
            <family val="2"/>
          </rPr>
          <t xml:space="preserve">
</t>
        </r>
      </text>
    </comment>
    <comment ref="G53" authorId="0" shapeId="0" xr:uid="{00000000-0006-0000-0000-000030000000}">
      <text>
        <r>
          <rPr>
            <b/>
            <sz val="9"/>
            <color indexed="81"/>
            <rFont val="Tahoma"/>
            <family val="2"/>
          </rPr>
          <t>Introducir valores totales en €</t>
        </r>
        <r>
          <rPr>
            <sz val="9"/>
            <color indexed="81"/>
            <rFont val="Tahoma"/>
            <family val="2"/>
          </rPr>
          <t xml:space="preserve">
</t>
        </r>
      </text>
    </comment>
    <comment ref="N53" authorId="0" shapeId="0" xr:uid="{00000000-0006-0000-0000-000031000000}">
      <text>
        <r>
          <rPr>
            <b/>
            <sz val="9"/>
            <color indexed="81"/>
            <rFont val="Tahoma"/>
            <family val="2"/>
          </rPr>
          <t xml:space="preserve">REFERENCIA PARA UNA HECTÁREA </t>
        </r>
        <r>
          <rPr>
            <sz val="9"/>
            <color indexed="81"/>
            <rFont val="Tahoma"/>
            <family val="2"/>
          </rPr>
          <t xml:space="preserve">
</t>
        </r>
      </text>
    </comment>
    <comment ref="G55" authorId="0" shapeId="0" xr:uid="{00000000-0006-0000-0000-000032000000}">
      <text>
        <r>
          <rPr>
            <b/>
            <sz val="9"/>
            <color indexed="81"/>
            <rFont val="Tahoma"/>
            <family val="2"/>
          </rPr>
          <t>Introducir valores totales en €</t>
        </r>
        <r>
          <rPr>
            <sz val="9"/>
            <color indexed="81"/>
            <rFont val="Tahoma"/>
            <family val="2"/>
          </rPr>
          <t xml:space="preserve">
</t>
        </r>
      </text>
    </comment>
    <comment ref="N55" authorId="0" shapeId="0" xr:uid="{00000000-0006-0000-0000-000033000000}">
      <text>
        <r>
          <rPr>
            <b/>
            <sz val="9"/>
            <color indexed="81"/>
            <rFont val="Tahoma"/>
            <family val="2"/>
          </rPr>
          <t xml:space="preserve">REFERENCIA PARA UNA HECTÁREA </t>
        </r>
        <r>
          <rPr>
            <sz val="9"/>
            <color indexed="81"/>
            <rFont val="Tahoma"/>
            <family val="2"/>
          </rPr>
          <t xml:space="preserve">
</t>
        </r>
      </text>
    </comment>
    <comment ref="G57" authorId="0" shapeId="0" xr:uid="{00000000-0006-0000-0000-000034000000}">
      <text>
        <r>
          <rPr>
            <b/>
            <sz val="9"/>
            <color indexed="81"/>
            <rFont val="Tahoma"/>
            <family val="2"/>
          </rPr>
          <t>Introducir valores totales en €</t>
        </r>
        <r>
          <rPr>
            <sz val="9"/>
            <color indexed="81"/>
            <rFont val="Tahoma"/>
            <family val="2"/>
          </rPr>
          <t xml:space="preserve">
</t>
        </r>
      </text>
    </comment>
    <comment ref="N57" authorId="0" shapeId="0" xr:uid="{00000000-0006-0000-0000-000035000000}">
      <text>
        <r>
          <rPr>
            <b/>
            <sz val="9"/>
            <color indexed="81"/>
            <rFont val="Tahoma"/>
            <family val="2"/>
          </rPr>
          <t xml:space="preserve">REFERENCIA PARA UNA HECTÁREA </t>
        </r>
        <r>
          <rPr>
            <sz val="9"/>
            <color indexed="81"/>
            <rFont val="Tahoma"/>
            <family val="2"/>
          </rPr>
          <t xml:space="preserve">
</t>
        </r>
      </text>
    </comment>
    <comment ref="G59" authorId="0" shapeId="0" xr:uid="{00000000-0006-0000-0000-000036000000}">
      <text>
        <r>
          <rPr>
            <b/>
            <sz val="9"/>
            <color indexed="81"/>
            <rFont val="Tahoma"/>
            <family val="2"/>
          </rPr>
          <t>Introducir valores totales en €</t>
        </r>
        <r>
          <rPr>
            <sz val="9"/>
            <color indexed="81"/>
            <rFont val="Tahoma"/>
            <family val="2"/>
          </rPr>
          <t xml:space="preserve">
</t>
        </r>
      </text>
    </comment>
    <comment ref="N59" authorId="0" shapeId="0" xr:uid="{00000000-0006-0000-0000-000037000000}">
      <text>
        <r>
          <rPr>
            <b/>
            <sz val="9"/>
            <color indexed="81"/>
            <rFont val="Tahoma"/>
            <family val="2"/>
          </rPr>
          <t xml:space="preserve">REFERENCIA PARA UNA HECTÁREA </t>
        </r>
        <r>
          <rPr>
            <sz val="9"/>
            <color indexed="81"/>
            <rFont val="Tahoma"/>
            <family val="2"/>
          </rPr>
          <t xml:space="preserve">
</t>
        </r>
      </text>
    </comment>
    <comment ref="G61" authorId="0" shapeId="0" xr:uid="{00000000-0006-0000-0000-000038000000}">
      <text>
        <r>
          <rPr>
            <b/>
            <sz val="9"/>
            <color indexed="81"/>
            <rFont val="Tahoma"/>
            <family val="2"/>
          </rPr>
          <t>Introducir valores totales en €</t>
        </r>
        <r>
          <rPr>
            <sz val="9"/>
            <color indexed="81"/>
            <rFont val="Tahoma"/>
            <family val="2"/>
          </rPr>
          <t xml:space="preserve">
</t>
        </r>
      </text>
    </comment>
    <comment ref="N61" authorId="0" shapeId="0" xr:uid="{00000000-0006-0000-0000-000039000000}">
      <text>
        <r>
          <rPr>
            <b/>
            <sz val="9"/>
            <color indexed="81"/>
            <rFont val="Tahoma"/>
            <family val="2"/>
          </rPr>
          <t xml:space="preserve">REFERENCIA PARA UNA HECTÁREA </t>
        </r>
        <r>
          <rPr>
            <sz val="9"/>
            <color indexed="81"/>
            <rFont val="Tahoma"/>
            <family val="2"/>
          </rPr>
          <t xml:space="preserve">
</t>
        </r>
      </text>
    </comment>
    <comment ref="G63" authorId="0" shapeId="0" xr:uid="{00000000-0006-0000-0000-00003A000000}">
      <text>
        <r>
          <rPr>
            <b/>
            <sz val="9"/>
            <color indexed="81"/>
            <rFont val="Tahoma"/>
            <family val="2"/>
          </rPr>
          <t>Introducir valores totales en €</t>
        </r>
        <r>
          <rPr>
            <sz val="9"/>
            <color indexed="81"/>
            <rFont val="Tahoma"/>
            <family val="2"/>
          </rPr>
          <t xml:space="preserve">
</t>
        </r>
      </text>
    </comment>
    <comment ref="N63" authorId="0" shapeId="0" xr:uid="{00000000-0006-0000-0000-00003B000000}">
      <text>
        <r>
          <rPr>
            <b/>
            <sz val="9"/>
            <color indexed="81"/>
            <rFont val="Tahoma"/>
            <family val="2"/>
          </rPr>
          <t xml:space="preserve">REFERENCIA PARA UNA HECTÁREA </t>
        </r>
        <r>
          <rPr>
            <sz val="9"/>
            <color indexed="81"/>
            <rFont val="Tahoma"/>
            <family val="2"/>
          </rPr>
          <t xml:space="preserve">
</t>
        </r>
      </text>
    </comment>
    <comment ref="G65" authorId="0" shapeId="0" xr:uid="{00000000-0006-0000-0000-00003C000000}">
      <text>
        <r>
          <rPr>
            <b/>
            <sz val="9"/>
            <color indexed="81"/>
            <rFont val="Tahoma"/>
            <family val="2"/>
          </rPr>
          <t>Introducir valores totales en €</t>
        </r>
        <r>
          <rPr>
            <sz val="9"/>
            <color indexed="81"/>
            <rFont val="Tahoma"/>
            <family val="2"/>
          </rPr>
          <t xml:space="preserve">
</t>
        </r>
      </text>
    </comment>
    <comment ref="N65" authorId="0" shapeId="0" xr:uid="{00000000-0006-0000-0000-00003D000000}">
      <text>
        <r>
          <rPr>
            <b/>
            <sz val="9"/>
            <color indexed="81"/>
            <rFont val="Tahoma"/>
            <family val="2"/>
          </rPr>
          <t xml:space="preserve">REFERENCIA PARA UNA HECTÁREA </t>
        </r>
      </text>
    </comment>
    <comment ref="G67" authorId="0" shapeId="0" xr:uid="{00000000-0006-0000-0000-00003E000000}">
      <text>
        <r>
          <rPr>
            <b/>
            <sz val="9"/>
            <color indexed="81"/>
            <rFont val="Tahoma"/>
            <family val="2"/>
          </rPr>
          <t>Introducir valores totales en €</t>
        </r>
      </text>
    </comment>
    <comment ref="N67" authorId="0" shapeId="0" xr:uid="{00000000-0006-0000-0000-00003F000000}">
      <text>
        <r>
          <rPr>
            <b/>
            <sz val="9"/>
            <color indexed="81"/>
            <rFont val="Tahoma"/>
            <family val="2"/>
          </rPr>
          <t xml:space="preserve">REFERENCIA PARA UNA HECTÁREA </t>
        </r>
        <r>
          <rPr>
            <sz val="9"/>
            <color indexed="81"/>
            <rFont val="Tahoma"/>
            <family val="2"/>
          </rPr>
          <t xml:space="preserve">
</t>
        </r>
      </text>
    </comment>
    <comment ref="G69" authorId="0" shapeId="0" xr:uid="{00000000-0006-0000-0000-000040000000}">
      <text>
        <r>
          <rPr>
            <b/>
            <sz val="9"/>
            <color indexed="81"/>
            <rFont val="Tahoma"/>
            <family val="2"/>
          </rPr>
          <t>Introducir valores totales en €</t>
        </r>
        <r>
          <rPr>
            <sz val="9"/>
            <color indexed="81"/>
            <rFont val="Tahoma"/>
            <family val="2"/>
          </rPr>
          <t xml:space="preserve">
</t>
        </r>
      </text>
    </comment>
    <comment ref="N69" authorId="0" shapeId="0" xr:uid="{00000000-0006-0000-0000-000041000000}">
      <text>
        <r>
          <rPr>
            <b/>
            <sz val="9"/>
            <color indexed="81"/>
            <rFont val="Tahoma"/>
            <family val="2"/>
          </rPr>
          <t xml:space="preserve">REFERENCIA PARA UNA HECTÁREA </t>
        </r>
        <r>
          <rPr>
            <sz val="9"/>
            <color indexed="81"/>
            <rFont val="Tahoma"/>
            <family val="2"/>
          </rPr>
          <t xml:space="preserve">
</t>
        </r>
      </text>
    </comment>
    <comment ref="N71" authorId="0" shapeId="0" xr:uid="{00000000-0006-0000-0000-000042000000}">
      <text>
        <r>
          <rPr>
            <b/>
            <sz val="9"/>
            <color indexed="81"/>
            <rFont val="Tahoma"/>
            <family val="2"/>
          </rPr>
          <t xml:space="preserve">REFERENCIA PARA UNA HECTÁREA </t>
        </r>
        <r>
          <rPr>
            <sz val="9"/>
            <color indexed="81"/>
            <rFont val="Tahoma"/>
            <family val="2"/>
          </rPr>
          <t xml:space="preserve">
</t>
        </r>
      </text>
    </comment>
    <comment ref="G73" authorId="0" shapeId="0" xr:uid="{00000000-0006-0000-0000-000043000000}">
      <text>
        <r>
          <rPr>
            <b/>
            <sz val="9"/>
            <color indexed="81"/>
            <rFont val="Tahoma"/>
            <family val="2"/>
          </rPr>
          <t>Introducir valores totales en €</t>
        </r>
        <r>
          <rPr>
            <sz val="9"/>
            <color indexed="81"/>
            <rFont val="Tahoma"/>
            <family val="2"/>
          </rPr>
          <t xml:space="preserve">
</t>
        </r>
      </text>
    </comment>
    <comment ref="N73" authorId="0" shapeId="0" xr:uid="{00000000-0006-0000-0000-000044000000}">
      <text>
        <r>
          <rPr>
            <b/>
            <sz val="9"/>
            <color indexed="81"/>
            <rFont val="Tahoma"/>
            <family val="2"/>
          </rPr>
          <t xml:space="preserve">REFERENCIA PARA UNA HECTÁREA </t>
        </r>
        <r>
          <rPr>
            <sz val="9"/>
            <color indexed="81"/>
            <rFont val="Tahoma"/>
            <family val="2"/>
          </rPr>
          <t xml:space="preserve">
</t>
        </r>
      </text>
    </comment>
    <comment ref="G75" authorId="0" shapeId="0" xr:uid="{00000000-0006-0000-0000-000045000000}">
      <text>
        <r>
          <rPr>
            <b/>
            <sz val="9"/>
            <color indexed="81"/>
            <rFont val="Tahoma"/>
            <family val="2"/>
          </rPr>
          <t>Introducir valores totales en €</t>
        </r>
        <r>
          <rPr>
            <sz val="9"/>
            <color indexed="81"/>
            <rFont val="Tahoma"/>
            <family val="2"/>
          </rPr>
          <t xml:space="preserve">
</t>
        </r>
      </text>
    </comment>
    <comment ref="G77" authorId="0" shapeId="0" xr:uid="{00000000-0006-0000-0000-000046000000}">
      <text>
        <r>
          <rPr>
            <b/>
            <sz val="9"/>
            <color indexed="81"/>
            <rFont val="Tahoma"/>
            <family val="2"/>
          </rPr>
          <t>Introducir valores totales en €</t>
        </r>
        <r>
          <rPr>
            <sz val="9"/>
            <color indexed="81"/>
            <rFont val="Tahoma"/>
            <family val="2"/>
          </rPr>
          <t xml:space="preserve">
</t>
        </r>
      </text>
    </comment>
    <comment ref="B81" authorId="0" shapeId="0" xr:uid="{00000000-0006-0000-0000-000047000000}">
      <text>
        <r>
          <rPr>
            <b/>
            <sz val="11"/>
            <color indexed="81"/>
            <rFont val="Tahoma"/>
            <family val="2"/>
          </rPr>
          <t>Ayuda: Costes del inmovilizado</t>
        </r>
        <r>
          <rPr>
            <b/>
            <sz val="9"/>
            <color indexed="81"/>
            <rFont val="Tahoma"/>
            <family val="2"/>
          </rPr>
          <t xml:space="preserve">:
</t>
        </r>
        <r>
          <rPr>
            <sz val="9"/>
            <color indexed="81"/>
            <rFont val="Tahoma"/>
            <family val="2"/>
          </rPr>
          <t xml:space="preserve">Los costes del inmovilizado son amortizaciones por hectárea y año de cada activo (cabezal, nave, embalse,…). 
</t>
        </r>
        <r>
          <rPr>
            <b/>
            <sz val="9"/>
            <color indexed="81"/>
            <rFont val="Tahoma"/>
            <family val="2"/>
          </rPr>
          <t>Puede usar los valores referencia (en verde)</t>
        </r>
        <r>
          <rPr>
            <sz val="9"/>
            <color indexed="81"/>
            <rFont val="Tahoma"/>
            <family val="2"/>
          </rPr>
          <t>: por ejemplo, cabezal de riego tiene un coste de 178 € por hectárea y año. 
S</t>
        </r>
        <r>
          <rPr>
            <b/>
            <sz val="9"/>
            <color indexed="81"/>
            <rFont val="Tahoma"/>
            <family val="2"/>
          </rPr>
          <t>i conoce el valor de compra de un activo y la superficie a la que da servicio, podrá calcular su coste</t>
        </r>
        <r>
          <rPr>
            <sz val="9"/>
            <color indexed="81"/>
            <rFont val="Tahoma"/>
            <family val="2"/>
          </rPr>
          <t xml:space="preserve"> </t>
        </r>
        <r>
          <rPr>
            <b/>
            <sz val="9"/>
            <color indexed="81"/>
            <rFont val="Tahoma"/>
            <family val="2"/>
          </rPr>
          <t>fácilmente</t>
        </r>
        <r>
          <rPr>
            <sz val="9"/>
            <color indexed="81"/>
            <rFont val="Tahoma"/>
            <family val="2"/>
          </rPr>
          <t xml:space="preserve">. Debe dividir el valor de compra entre la superficie (has) y la vida útil (años). Por ejemplo: Cabezal de riego para 3 hectáreas / Valor de compra = 7.200 / Vida útil = 15 años
</t>
        </r>
        <r>
          <rPr>
            <b/>
            <sz val="9"/>
            <color indexed="81"/>
            <rFont val="Tahoma"/>
            <family val="2"/>
          </rPr>
          <t>Coste inmovilizado (cabezal)</t>
        </r>
        <r>
          <rPr>
            <sz val="9"/>
            <color indexed="81"/>
            <rFont val="Tahoma"/>
            <family val="2"/>
          </rPr>
          <t xml:space="preserve"> = 7.200 / (3 has x 15 años) = 7.200 / 45 = 160 €/ha x año
</t>
        </r>
        <r>
          <rPr>
            <b/>
            <sz val="9"/>
            <color indexed="81"/>
            <rFont val="Tahoma"/>
            <family val="2"/>
          </rPr>
          <t>Vida útil orientativa</t>
        </r>
        <r>
          <rPr>
            <sz val="9"/>
            <color indexed="81"/>
            <rFont val="Tahoma"/>
            <family val="2"/>
          </rPr>
          <t>: Nave 25 años – Cabezal 15 años – Red de riego 10 años -  Preparación y plantación 22 años – Material vario 5 años – Embalse 30 años – Acolchado malla negra 10 años</t>
        </r>
        <r>
          <rPr>
            <b/>
            <sz val="9"/>
            <color indexed="81"/>
            <rFont val="Tahoma"/>
            <family val="2"/>
          </rPr>
          <t xml:space="preserve">
</t>
        </r>
      </text>
    </comment>
    <comment ref="N81" authorId="0" shapeId="0" xr:uid="{00000000-0006-0000-0000-000048000000}">
      <text>
        <r>
          <rPr>
            <b/>
            <sz val="9"/>
            <color indexed="81"/>
            <rFont val="Tahoma"/>
            <family val="2"/>
          </rPr>
          <t xml:space="preserve">REFERENCIA PARA UNA HECTÁREA </t>
        </r>
      </text>
    </comment>
  </commentList>
</comments>
</file>

<file path=xl/sharedStrings.xml><?xml version="1.0" encoding="utf-8"?>
<sst xmlns="http://schemas.openxmlformats.org/spreadsheetml/2006/main" count="352" uniqueCount="285">
  <si>
    <t>Producto Bruto</t>
  </si>
  <si>
    <t>Producción bruta (kg/ha)</t>
  </si>
  <si>
    <t>Destrío (%)</t>
  </si>
  <si>
    <t>Producción neta (kg/ha)</t>
  </si>
  <si>
    <t>Precio PN (€/kg)</t>
  </si>
  <si>
    <t>Precio destrío (€/kg)</t>
  </si>
  <si>
    <t>Otros subproductos (kg/ha)</t>
  </si>
  <si>
    <t>Precio otros (€/kg)</t>
  </si>
  <si>
    <t>Costes directos</t>
  </si>
  <si>
    <t>Fertilizantes equilibrio</t>
  </si>
  <si>
    <t>Coste fertilización (€/ha)</t>
  </si>
  <si>
    <t>Nº tratamientos fitosanitarios (ud/año)</t>
  </si>
  <si>
    <t>Coste fitosanitarios (€/ha)</t>
  </si>
  <si>
    <t>Seguro cultivo (€/ha)</t>
  </si>
  <si>
    <t>Coste energía eléctrica (€/ha)</t>
  </si>
  <si>
    <t>Maquinaria (sin m.o.)</t>
  </si>
  <si>
    <t>Nº Labores grada (ud/año)</t>
  </si>
  <si>
    <t>Laboreo gradas (h/ha)</t>
  </si>
  <si>
    <t>Coste laboreo (€/h)</t>
  </si>
  <si>
    <t>Triturado leña (h/ha)</t>
  </si>
  <si>
    <t>Coste trituradora (€/h)</t>
  </si>
  <si>
    <t>Tratamiento herbicida (h/ha)</t>
  </si>
  <si>
    <t>Coste tractor tratamiento (€/h)</t>
  </si>
  <si>
    <t>Tratamiento fitosanitario (h/ha)</t>
  </si>
  <si>
    <t>Mano de obra asalariada</t>
  </si>
  <si>
    <t>Coste horario operario (€/h)</t>
  </si>
  <si>
    <t>Coste poda (árboles/jornal)</t>
  </si>
  <si>
    <t>M.O. poda (€/ha)</t>
  </si>
  <si>
    <t>M.O. laboreo (€/ha)</t>
  </si>
  <si>
    <t>M.O. triturado (€/ha)</t>
  </si>
  <si>
    <t>M.O. tratamientos herbicidas (€/ha)</t>
  </si>
  <si>
    <t>M.O. tratamientos fitosanitarios (€/ha)</t>
  </si>
  <si>
    <t>Coste recolección (kg/jornal)</t>
  </si>
  <si>
    <t>M.O. recolección (€/ha)</t>
  </si>
  <si>
    <t xml:space="preserve">Total </t>
  </si>
  <si>
    <t>Añadir amortización maquinaria</t>
  </si>
  <si>
    <t>Unir m.o. insumos y maquinaria</t>
  </si>
  <si>
    <t>Incluir m.o. fija</t>
  </si>
  <si>
    <t>amortización equipo herbicida 12 €/h</t>
  </si>
  <si>
    <t>Datos generales</t>
  </si>
  <si>
    <t>Marco plantación (árboles/ha)</t>
  </si>
  <si>
    <t>Nº horas/jornal</t>
  </si>
  <si>
    <t>Nº operarios trat. herbicidas</t>
  </si>
  <si>
    <t>Equivalencia nº jornales/UTA</t>
  </si>
  <si>
    <t>Equivalencia nº horas/UTA</t>
  </si>
  <si>
    <t>Equivalencia €/UTA</t>
  </si>
  <si>
    <t>Equivalencia ha/m.o.f. UTA</t>
  </si>
  <si>
    <t>Coste sin recolección</t>
  </si>
  <si>
    <t>M.O. fija -capataz- (€/ha)</t>
  </si>
  <si>
    <t>Coste horario podador (€/h)</t>
  </si>
  <si>
    <t>Coste horario tractorista (€/h)</t>
  </si>
  <si>
    <t>Nave de aperos, cabezal e insumos (80 m2)</t>
  </si>
  <si>
    <t>Explotación tipo 5 has</t>
  </si>
  <si>
    <t>Cabezal de riego 50 m3/h</t>
  </si>
  <si>
    <t>Tubería PE BD 16 mm 6 atm (€/ml)</t>
  </si>
  <si>
    <t>Tubería PE BD 63 mm 6 atm (€/ml)</t>
  </si>
  <si>
    <t>P/P piezas riego goteo frutales/cítricos (€/ha)</t>
  </si>
  <si>
    <t>Goteros autocompensantes 4 l/h (€/ud)</t>
  </si>
  <si>
    <t>Montaje y material auxiliar red riego  (coef.)</t>
  </si>
  <si>
    <t>Red de riego localizado por goteo</t>
  </si>
  <si>
    <t>Desfonde con subsolador (80/90 cm) tractor 140 CV</t>
  </si>
  <si>
    <t>Gradeo labor superficial cruzada tractor 120 CV</t>
  </si>
  <si>
    <t>Refino nivelación laser tractor 90 CV</t>
  </si>
  <si>
    <t>Ligero aporcado y plantación manual</t>
  </si>
  <si>
    <t>Maquinaria apoyo plantación</t>
  </si>
  <si>
    <t>Red de riego (por ha)</t>
  </si>
  <si>
    <t>Plantación (por ha)</t>
  </si>
  <si>
    <t>Planta injertada certificada</t>
  </si>
  <si>
    <t>Preparación y plantación limoneros injertados</t>
  </si>
  <si>
    <t>Material vario auxiliar (tijeras, capazos, guantes…)</t>
  </si>
  <si>
    <t>Embalse regulador impermeabilizado PE</t>
  </si>
  <si>
    <t>€/ha</t>
  </si>
  <si>
    <t>Inversión</t>
  </si>
  <si>
    <t>Vida útil</t>
  </si>
  <si>
    <t>Residual</t>
  </si>
  <si>
    <t xml:space="preserve">Amortización </t>
  </si>
  <si>
    <t>C. Oportunidad</t>
  </si>
  <si>
    <t>Total</t>
  </si>
  <si>
    <t>Costes del inmovilizado</t>
  </si>
  <si>
    <t xml:space="preserve">Nave de aperos, cabezal e insumos </t>
  </si>
  <si>
    <t xml:space="preserve">Cabezal de riego </t>
  </si>
  <si>
    <t>Costes del circulante</t>
  </si>
  <si>
    <t>Poda anual</t>
  </si>
  <si>
    <t>Costes de maquinaria</t>
  </si>
  <si>
    <t>Fitosanitarios</t>
  </si>
  <si>
    <t>Abonos</t>
  </si>
  <si>
    <t>Mantenimiento</t>
  </si>
  <si>
    <t>Arrendamientos</t>
  </si>
  <si>
    <t>Energía eléctrica</t>
  </si>
  <si>
    <t>Personal fijo</t>
  </si>
  <si>
    <t xml:space="preserve">Recolección </t>
  </si>
  <si>
    <t>Riego</t>
  </si>
  <si>
    <t>Coste total (€/ha)</t>
  </si>
  <si>
    <t>Plena producción</t>
  </si>
  <si>
    <t>UTA/ha</t>
  </si>
  <si>
    <t>UVA</t>
  </si>
  <si>
    <t>Compensado</t>
  </si>
  <si>
    <t>Añadir costes años iniciales</t>
  </si>
  <si>
    <t>Margen Neto (MN)</t>
  </si>
  <si>
    <t>MN/Coste total</t>
  </si>
  <si>
    <t>MN/Inversión</t>
  </si>
  <si>
    <t>MN/circulante (%)</t>
  </si>
  <si>
    <t>VAN (€)</t>
  </si>
  <si>
    <t>VAN/Inversión (€/€)</t>
  </si>
  <si>
    <t>Pay Back (años)</t>
  </si>
  <si>
    <t>TIR (%)</t>
  </si>
  <si>
    <t>Umbral Rentabilidad (€/kg)</t>
  </si>
  <si>
    <t>Umbral Rentabilidad (has)</t>
  </si>
  <si>
    <t>Umbral Rentabilidad (kg/ha)</t>
  </si>
  <si>
    <t xml:space="preserve">Eficiencia productiva </t>
  </si>
  <si>
    <t>EUA</t>
  </si>
  <si>
    <t>Eficiencia económica</t>
  </si>
  <si>
    <t>Productividad bruta</t>
  </si>
  <si>
    <t>Eficiencia social</t>
  </si>
  <si>
    <r>
      <t>UTA/hm</t>
    </r>
    <r>
      <rPr>
        <i/>
        <vertAlign val="superscript"/>
        <sz val="10"/>
        <rFont val="Arial Narrow"/>
        <family val="2"/>
      </rPr>
      <t>3</t>
    </r>
  </si>
  <si>
    <t>Añadir resultados compensados</t>
  </si>
  <si>
    <t>Horas</t>
  </si>
  <si>
    <t>UTA´s</t>
  </si>
  <si>
    <t>Encargado</t>
  </si>
  <si>
    <t>Operario máquinas</t>
  </si>
  <si>
    <t>Operario ordinario</t>
  </si>
  <si>
    <t>sin recolección</t>
  </si>
  <si>
    <t>€/kg neto</t>
  </si>
  <si>
    <t>Seguro cultivo</t>
  </si>
  <si>
    <t>coste riego por kilo neto</t>
  </si>
  <si>
    <t>Eficiencia productiva (kg/m3)</t>
  </si>
  <si>
    <t>Eficiencia Social (UTA/hm3)</t>
  </si>
  <si>
    <t>Formación de meseta incluido aporte tierra tractor 120 CV</t>
  </si>
  <si>
    <t>Colocación manual malla antihierba</t>
  </si>
  <si>
    <t>2 operarios x 7 h</t>
  </si>
  <si>
    <t xml:space="preserve">Malla antihierba negra Macoglass </t>
  </si>
  <si>
    <t>3.250 m2</t>
  </si>
  <si>
    <t>Refino compactación tractor 90 CV</t>
  </si>
  <si>
    <t xml:space="preserve">meseta </t>
  </si>
  <si>
    <t>Cubrición con malla antihierba de mesetas (por ha)</t>
  </si>
  <si>
    <t>Cubrición con malla antihierba de mesetas</t>
  </si>
  <si>
    <t>incluye formación de mesetas</t>
  </si>
  <si>
    <t>6 goteros/pie</t>
  </si>
  <si>
    <r>
      <t>Dosis agua riego (m</t>
    </r>
    <r>
      <rPr>
        <vertAlign val="superscript"/>
        <sz val="10"/>
        <color indexed="12"/>
        <rFont val="Arial Narrow"/>
        <family val="2"/>
      </rPr>
      <t>3</t>
    </r>
    <r>
      <rPr>
        <sz val="10"/>
        <color indexed="12"/>
        <rFont val="Arial Narrow"/>
        <family val="2"/>
      </rPr>
      <t>/ha)</t>
    </r>
  </si>
  <si>
    <r>
      <t>Precio agua riego (€/m</t>
    </r>
    <r>
      <rPr>
        <vertAlign val="superscript"/>
        <sz val="10"/>
        <color indexed="12"/>
        <rFont val="Arial Narrow"/>
        <family val="2"/>
      </rPr>
      <t>3</t>
    </r>
    <r>
      <rPr>
        <sz val="10"/>
        <color indexed="12"/>
        <rFont val="Arial Narrow"/>
        <family val="2"/>
      </rPr>
      <t>)</t>
    </r>
  </si>
  <si>
    <t>Nº tratamientos control biológico (ud/año)</t>
  </si>
  <si>
    <t>Nº uds CB</t>
  </si>
  <si>
    <t>Coste estrategia CB y CT (€/ha)</t>
  </si>
  <si>
    <t>encuesta</t>
  </si>
  <si>
    <t>Control biológico y tecnológico</t>
  </si>
  <si>
    <t>Malla antihierba en mesetas</t>
  </si>
  <si>
    <t>ANALISIS COMPARATIVO</t>
  </si>
  <si>
    <t>ECO</t>
  </si>
  <si>
    <t>CON</t>
  </si>
  <si>
    <t>sobrecoste</t>
  </si>
  <si>
    <t>%</t>
  </si>
  <si>
    <t>€/kg</t>
  </si>
  <si>
    <t>PB comercial</t>
  </si>
  <si>
    <t>FERTILIZANTE</t>
  </si>
  <si>
    <t>DOSIS</t>
  </si>
  <si>
    <t>RIQUEZA</t>
  </si>
  <si>
    <t>RIQ.</t>
  </si>
  <si>
    <r>
      <t xml:space="preserve">   </t>
    </r>
    <r>
      <rPr>
        <b/>
        <sz val="10"/>
        <rFont val="Arial Narrow"/>
        <family val="2"/>
      </rPr>
      <t>MARCO</t>
    </r>
  </si>
  <si>
    <t>UF</t>
  </si>
  <si>
    <t>N (%)</t>
  </si>
  <si>
    <t xml:space="preserve">P2O5 </t>
  </si>
  <si>
    <t xml:space="preserve">K2O </t>
  </si>
  <si>
    <t xml:space="preserve">MgO </t>
  </si>
  <si>
    <t xml:space="preserve">CaO </t>
  </si>
  <si>
    <t>(m)</t>
  </si>
  <si>
    <t>(N)</t>
  </si>
  <si>
    <t>(P2O5)</t>
  </si>
  <si>
    <t>(K2O)</t>
  </si>
  <si>
    <t>(CaO)</t>
  </si>
  <si>
    <t>(MgO)</t>
  </si>
  <si>
    <t>Constante:</t>
  </si>
  <si>
    <t>Densidad fluido (kg/l):</t>
  </si>
  <si>
    <t>Altura manométrica (m):</t>
  </si>
  <si>
    <t>Superficie sector (has):</t>
  </si>
  <si>
    <t>plantas/ha:</t>
  </si>
  <si>
    <t>Goteros/planta:</t>
  </si>
  <si>
    <t>Caudal gotero (l/h):</t>
  </si>
  <si>
    <t>Precio kw·h (€):</t>
  </si>
  <si>
    <t>Rendimiento (µm·µb) (0,75·0,75)</t>
  </si>
  <si>
    <t>Coste energía/ha·año:</t>
  </si>
  <si>
    <t>TOTAL UF/AÑO</t>
  </si>
  <si>
    <t>RIEGO</t>
  </si>
  <si>
    <t>Horas/año·sector</t>
  </si>
  <si>
    <t>sectores</t>
  </si>
  <si>
    <t>kg ó litros/ha</t>
  </si>
  <si>
    <t>Precio unidad</t>
  </si>
  <si>
    <t>total</t>
  </si>
  <si>
    <t>Nº PLANTAS:</t>
  </si>
  <si>
    <t>50 m3/h</t>
  </si>
  <si>
    <t>Se debe dividir por caudal/ha</t>
  </si>
  <si>
    <t>Caudal = 6,84 m3/hora</t>
  </si>
  <si>
    <t>FITOSANITARIOS</t>
  </si>
  <si>
    <t>M1</t>
  </si>
  <si>
    <t>M2</t>
  </si>
  <si>
    <t>Tratamiento 1</t>
  </si>
  <si>
    <t>Tratamiento 2</t>
  </si>
  <si>
    <t>Tratamiento 3</t>
  </si>
  <si>
    <t>TOTAL AÑO</t>
  </si>
  <si>
    <t>kg/ha</t>
  </si>
  <si>
    <t>Estiercol ovino/caprino</t>
  </si>
  <si>
    <t>cada 3 años</t>
  </si>
  <si>
    <t>(gr-cc/pie)</t>
  </si>
  <si>
    <t>Brotolim Eco AA 6-0-0</t>
  </si>
  <si>
    <t>Terraplus 2-4-6</t>
  </si>
  <si>
    <t>PRONAMIN N MAX 20LT p/v</t>
  </si>
  <si>
    <t>Brotolim Eco AA</t>
  </si>
  <si>
    <t>Quelato hierro Ferrilene p/p</t>
  </si>
  <si>
    <t>Acidos húmicos + fúlvicos</t>
  </si>
  <si>
    <t>Quelato 5 x 6 gramos/pie</t>
  </si>
  <si>
    <t>Agroseguro</t>
  </si>
  <si>
    <t>VER ENCUESTA ECO</t>
  </si>
  <si>
    <t>SI</t>
  </si>
  <si>
    <t>No</t>
  </si>
  <si>
    <t>DATOS GENERALES</t>
  </si>
  <si>
    <t>RESULTADOS.</t>
  </si>
  <si>
    <t>USUARIO</t>
  </si>
  <si>
    <t>MARGEN NETO (MN)</t>
  </si>
  <si>
    <t>MARCO DE PLANTACIÓN</t>
  </si>
  <si>
    <t>X</t>
  </si>
  <si>
    <t>REFERENCIA / HA</t>
  </si>
  <si>
    <t>COSTE TOTAL  € / HA</t>
  </si>
  <si>
    <t>SUPERFICIE</t>
  </si>
  <si>
    <t>CALCULOS FINCA / Ha</t>
  </si>
  <si>
    <t>MN / COSTE TOTAL (%) (Rentabilidad)</t>
  </si>
  <si>
    <t>PRECIO DE VENTA y PRECIO DESTRÍO</t>
  </si>
  <si>
    <t>UMBRAL DE RENTABILIDAD (Kg/Ha) Viabilidad</t>
  </si>
  <si>
    <t>PRODUCCIÓN BRUTA</t>
  </si>
  <si>
    <t>COSTE MEDIO DE PRODUCCIÓN (€/Kg)</t>
  </si>
  <si>
    <t>DESTRÍO</t>
  </si>
  <si>
    <t>PRODUCTIVIDAD DEL AGUA.</t>
  </si>
  <si>
    <t>PRODUCTIVIDAD TÉCNICA AGUA</t>
  </si>
  <si>
    <t>PRODUCCIÓN NETA</t>
  </si>
  <si>
    <t>PRODUCTIVA ECONOMICA BRUTA AGUA</t>
  </si>
  <si>
    <t>RIEGO: PRECIO UNITARIO DEL AGUA</t>
  </si>
  <si>
    <t>PRODUCTIVIDAD ECONÓMICA NETA AGUA</t>
  </si>
  <si>
    <t>RIEGO DOTACIÓN</t>
  </si>
  <si>
    <t>INMOVILIZADO</t>
  </si>
  <si>
    <t>NAVE DE APEROS</t>
  </si>
  <si>
    <t>CABEZAL DE RIEGO</t>
  </si>
  <si>
    <t>RED DE RIEGO LOCALIZADO</t>
  </si>
  <si>
    <t>Material vario auxiliar (tijeras, capazos,…)</t>
  </si>
  <si>
    <t>EMBALSE REGULADOR</t>
  </si>
  <si>
    <t>ACOLCHADO - MALLA MESETA</t>
  </si>
  <si>
    <t>OTROS 1</t>
  </si>
  <si>
    <t>OTROS 2</t>
  </si>
  <si>
    <t>CIRCULANTE</t>
  </si>
  <si>
    <t>PODA</t>
  </si>
  <si>
    <t>SEGURO DEL CULTIVO</t>
  </si>
  <si>
    <t>COSTE TOTAL DE LA MAQUINARIA</t>
  </si>
  <si>
    <t>ABONOS</t>
  </si>
  <si>
    <t>MANTENIMIENTO</t>
  </si>
  <si>
    <t>ARRENDAMIENTO</t>
  </si>
  <si>
    <t>ENERGÍA ELÉCTRICA</t>
  </si>
  <si>
    <t>AGUA DE RIEGO</t>
  </si>
  <si>
    <t>PERSONAL FIJO</t>
  </si>
  <si>
    <t>CIRCULANTE + INMOVILIZADO</t>
  </si>
  <si>
    <t>CONTROL BIOLÓGICO Y TECNOLÓGICO</t>
  </si>
  <si>
    <t>INSTRUCCIONES. Ayuda: Costes del inmovilizado</t>
  </si>
  <si>
    <t xml:space="preserve">Los costes del inmovilizado son amortizaciones por hectárea y año de cada activo (cabezal, nave, embalse,…). </t>
  </si>
  <si>
    <t xml:space="preserve">Puede usar los valores referencia (en verde): por ejemplo, cabezal de riego tiene un coste de 178 € por hectárea y año. </t>
  </si>
  <si>
    <t xml:space="preserve">Si conoce el valor de compra de un activo y la superficie a la que da servicio, podrá calcular su coste fácilmente. Debe dividir el valor de compra entre la superficie (has) y la vida útil (años). </t>
  </si>
  <si>
    <t>Por ejemplo: Cabezal de riego para 3 hectáreas / Valor de compra = 7.200 / Vida útil = 15 años</t>
  </si>
  <si>
    <t>Coste inmovilizado (cabezal) = 7.200 / (3 has x 15 años) = 7.200 / 45 = 160 €/ha x año</t>
  </si>
  <si>
    <t>Vida útil orientativa: Nave 25 años – Cabezal 15 años – Red de riego 10 años -  Preparación y plantación 22 años – Material vario 5 años – Embalse 30 años – Acolchado malla negra 10 años</t>
  </si>
  <si>
    <t>INSTRUCCIONES.</t>
  </si>
  <si>
    <t>1) La producción bruta (PB) (kg) introducida (en color amarillo) debe corresponder a la superficie total de la explotación</t>
  </si>
  <si>
    <t xml:space="preserve">2) Introducir los datos en las casillas de color amarillo. Las celdas con valor CERO se verán con el texto en color rojo para recordar que ahí no hay dato. En los comentarios se explica que dato hay que introducir (las unidades ya las lleva por defecto). </t>
  </si>
  <si>
    <t>3) Pinchando sobre el Logo de Ailimpo se abre la web de Ailimpo en el navegador de internet que tengan por defecto, igual ocurre con la web del Imida (se abre la página donde se pueden descargar las publicaciones de economía agrícola del Dr. Ingeniero Agrónomo D. José García García (Fuente de la hoja Excel)</t>
  </si>
  <si>
    <t xml:space="preserve">4) Pinchando en "Precios Agro" se abren las distintas web de precios agrícolas que refleja el titulo (Murcia, Alicante y MAPA).    </t>
  </si>
  <si>
    <t>5) La columna en verde corresponde a valores de referencia orientativos para 1 hectárea en explotación tipo (Bibliografía IMIDA actualizada). La columna central (en color blanco) muestra un resultado parcial que se debe contrastar con la columna de valores de referencia (en color verde).</t>
  </si>
  <si>
    <t>6) A la derecha de los Datos de Referencia (color verde), se avisa si los cálculos por hectárea procedentes de la introducción de datos son superiores o inferiores al valor de referencia, cambiando además de color para distinguir si es menor o mayor. Que el dato sea menor a mayor no tiene porque tener relevancia pero es un aviso por si hubiera un error.</t>
  </si>
  <si>
    <t xml:space="preserve">7) La columna CALCULOS FINCA POR HA (en color blanco), calcula igual que la anterior los precios y valores por Ha pero ya no depende de una estadística del IMIDA, sino de los datos introducidos en las celdas de color amarillo por el usuario; tiene en cuenta el Número de Hectáreas que le hayamos introducido.                                                                                                                                                                           </t>
  </si>
  <si>
    <t>8) El Inmovilizado refleja costes anuales de amortización de la finca (€/año) (para la superficie total introducida). Del mismo modo, el circulante refleja costes anuales correspondientes al total de superficie de cultivo introducida. Ambos capítulos contables van en color amarillo.</t>
  </si>
  <si>
    <t xml:space="preserve">9) En los apartados INMOVILIZADO Y CIRCULANTE se dejan unas casillas en amarillo vacías o con valor cero; el usuario puede introducir otras partidas no contempladas en este Excel, para que así intervengan en las sumas y los cálculos finales. Deben ser valores de costes anuales (€/año) para el total de la superficie introducida                                                                                                                                                                                                                                                                                                                                                                                                                  </t>
  </si>
  <si>
    <t>Menor que REF.</t>
  </si>
  <si>
    <t>RESULTADOS DE COSTES: FINCA DE POMELO ECO</t>
  </si>
  <si>
    <t>Preparación y plantación pomelos injertados</t>
  </si>
  <si>
    <t>Inversión (€/Ha)</t>
  </si>
  <si>
    <t>FERTILIZANTES</t>
  </si>
  <si>
    <t>RESULTADOS DE COSTES: FINCA DE VERNA ECOLÓGICO</t>
  </si>
  <si>
    <t>Versión 1.5 - Fecha: 22-2-2023</t>
  </si>
  <si>
    <t>Dosis riego limonero Verna eco</t>
  </si>
  <si>
    <t>160-54-150-25-0</t>
  </si>
  <si>
    <t>Autores Excel: D. José García García y D. Pedro E. Fuster Villa</t>
  </si>
  <si>
    <t xml:space="preserve">                             CÁLCULO DE COSTES: LIMONERO VERNA ECOLÓGICO.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</si>
</sst>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164" formatCode="0.0"/>
    <numFmt numFmtId="165" formatCode="0.000"/>
    <numFmt numFmtId="166" formatCode="#,##0.000"/>
    <numFmt numFmtId="167" formatCode="0.0%"/>
    <numFmt numFmtId="168" formatCode="#,##0.0000"/>
    <numFmt numFmtId="169" formatCode="#,##0&quot; pies&quot;"/>
    <numFmt numFmtId="170" formatCode="#,##0.00&quot; m²/pie&quot;"/>
    <numFmt numFmtId="171" formatCode="#,##0&quot; €&quot;"/>
    <numFmt numFmtId="172" formatCode="#,##0&quot; €/Ha&quot;"/>
    <numFmt numFmtId="173" formatCode="#,##0.00&quot; Ha&quot;"/>
    <numFmt numFmtId="174" formatCode="#,##0.00&quot; %&quot;"/>
    <numFmt numFmtId="175" formatCode="#,##0.00&quot; €/kg&quot;"/>
    <numFmt numFmtId="176" formatCode="&quot;PRECIO DESTRÍO:&quot;\ #,##0.00&quot; €/kg&quot;"/>
    <numFmt numFmtId="177" formatCode="#,##0&quot; Kg/Ha&quot;"/>
    <numFmt numFmtId="178" formatCode="#,##0&quot; Kg&quot;"/>
    <numFmt numFmtId="179" formatCode="#,##0.00&quot; Kg/Ha&quot;"/>
    <numFmt numFmtId="180" formatCode="#,##0.00&quot; €/Ha&quot;"/>
    <numFmt numFmtId="181" formatCode="#,##0.00&quot; Kg/m3&quot;"/>
    <numFmt numFmtId="182" formatCode="#,##0.00&quot; €/m3&quot;"/>
    <numFmt numFmtId="183" formatCode="&quot;Coste total del Agua: &quot;#,##0&quot; €&quot;"/>
    <numFmt numFmtId="184" formatCode="#,##0&quot; m3/Ha&quot;"/>
    <numFmt numFmtId="185" formatCode="#,##0.00&quot; €&quot;"/>
    <numFmt numFmtId="186" formatCode="#,##0.00&quot; m³/Ha&quot;"/>
    <numFmt numFmtId="187" formatCode="&quot;Datos para: &quot;#,##0.00&quot; Has&quot;"/>
    <numFmt numFmtId="188" formatCode="&quot;Fecha: &quot;dd/mm/yyyy"/>
    <numFmt numFmtId="189" formatCode="#,##0.00&quot; m&quot;"/>
    <numFmt numFmtId="190" formatCode="#,##0.00&quot; m²&quot;"/>
    <numFmt numFmtId="191" formatCode="#,##0&quot; pies/Ha&quot;"/>
    <numFmt numFmtId="192" formatCode="#,##0&quot; Horas&quot;"/>
    <numFmt numFmtId="193" formatCode="#,##0&quot; Ud/año&quot;"/>
    <numFmt numFmtId="194" formatCode="#,##0&quot; Ud&quot;"/>
    <numFmt numFmtId="195" formatCode="#,##0.00&quot; €/ltr&quot;"/>
    <numFmt numFmtId="196" formatCode="#,##0.00&quot; €/m³&quot;"/>
    <numFmt numFmtId="197" formatCode="#,##0.00&quot; h/Ha&quot;"/>
    <numFmt numFmtId="198" formatCode="#,##0.00&quot; €/h&quot;"/>
    <numFmt numFmtId="199" formatCode="#,##0&quot; años&quot;"/>
    <numFmt numFmtId="200" formatCode="#,##0.00&quot; Has&quot;"/>
    <numFmt numFmtId="201" formatCode="#,##0.00&quot; €/Ud&quot;"/>
    <numFmt numFmtId="202" formatCode="#,##0.000&quot; €/Ud&quot;"/>
  </numFmts>
  <fonts count="87" x14ac:knownFonts="1">
    <font>
      <sz val="10"/>
      <name val="Arial"/>
    </font>
    <font>
      <sz val="10"/>
      <name val="Arial"/>
      <family val="2"/>
    </font>
    <font>
      <b/>
      <i/>
      <sz val="10"/>
      <color indexed="12"/>
      <name val="Arial Narrow"/>
      <family val="2"/>
    </font>
    <font>
      <sz val="10"/>
      <name val="Arial Narrow"/>
      <family val="2"/>
    </font>
    <font>
      <b/>
      <sz val="10"/>
      <color indexed="12"/>
      <name val="Arial Narrow"/>
      <family val="2"/>
    </font>
    <font>
      <b/>
      <sz val="10"/>
      <color indexed="17"/>
      <name val="Arial Narrow"/>
      <family val="2"/>
    </font>
    <font>
      <b/>
      <sz val="11"/>
      <color indexed="12"/>
      <name val="Arial Narrow"/>
      <family val="2"/>
    </font>
    <font>
      <sz val="10"/>
      <color indexed="12"/>
      <name val="Arial Narrow"/>
      <family val="2"/>
    </font>
    <font>
      <sz val="8"/>
      <name val="Arial"/>
      <family val="2"/>
    </font>
    <font>
      <sz val="10"/>
      <color indexed="10"/>
      <name val="Arial Narrow"/>
      <family val="2"/>
    </font>
    <font>
      <i/>
      <sz val="10"/>
      <color indexed="12"/>
      <name val="Arial Narrow"/>
      <family val="2"/>
    </font>
    <font>
      <sz val="10"/>
      <color indexed="12"/>
      <name val="Arial"/>
      <family val="2"/>
    </font>
    <font>
      <b/>
      <i/>
      <sz val="10"/>
      <color indexed="12"/>
      <name val="Arial"/>
      <family val="2"/>
    </font>
    <font>
      <sz val="11"/>
      <color indexed="12"/>
      <name val="Arial Narrow"/>
      <family val="2"/>
    </font>
    <font>
      <sz val="9"/>
      <name val="Arial"/>
      <family val="2"/>
    </font>
    <font>
      <sz val="10"/>
      <color indexed="10"/>
      <name val="Arial"/>
      <family val="2"/>
    </font>
    <font>
      <b/>
      <sz val="10"/>
      <name val="Arial"/>
      <family val="2"/>
    </font>
    <font>
      <sz val="8"/>
      <name val="Arial Narrow"/>
      <family val="2"/>
    </font>
    <font>
      <sz val="8"/>
      <color indexed="10"/>
      <name val="Arial Narrow"/>
      <family val="2"/>
    </font>
    <font>
      <i/>
      <sz val="8"/>
      <name val="Arial Narrow"/>
      <family val="2"/>
    </font>
    <font>
      <b/>
      <sz val="8"/>
      <name val="Arial Narrow"/>
      <family val="2"/>
    </font>
    <font>
      <b/>
      <i/>
      <sz val="10"/>
      <name val="Arial Narrow"/>
      <family val="2"/>
    </font>
    <font>
      <b/>
      <i/>
      <sz val="11"/>
      <color indexed="12"/>
      <name val="Arial Narrow"/>
      <family val="2"/>
    </font>
    <font>
      <i/>
      <sz val="10"/>
      <color indexed="10"/>
      <name val="Arial Narrow"/>
      <family val="2"/>
    </font>
    <font>
      <b/>
      <sz val="10"/>
      <name val="Arial Narrow"/>
      <family val="2"/>
    </font>
    <font>
      <i/>
      <sz val="10"/>
      <name val="Arial Narrow"/>
      <family val="2"/>
    </font>
    <font>
      <b/>
      <sz val="10"/>
      <name val="Arial"/>
      <family val="2"/>
    </font>
    <font>
      <i/>
      <vertAlign val="superscript"/>
      <sz val="10"/>
      <name val="Arial Narrow"/>
      <family val="2"/>
    </font>
    <font>
      <sz val="9"/>
      <color indexed="10"/>
      <name val="Arial Narrow"/>
      <family val="2"/>
    </font>
    <font>
      <i/>
      <sz val="9"/>
      <color indexed="10"/>
      <name val="Arial Narrow"/>
      <family val="2"/>
    </font>
    <font>
      <u/>
      <sz val="10"/>
      <color indexed="12"/>
      <name val="Arial"/>
      <family val="2"/>
    </font>
    <font>
      <b/>
      <i/>
      <sz val="10"/>
      <color indexed="10"/>
      <name val="Arial Narrow"/>
      <family val="2"/>
    </font>
    <font>
      <sz val="10"/>
      <name val="Arial"/>
      <family val="2"/>
    </font>
    <font>
      <b/>
      <i/>
      <sz val="10"/>
      <name val="Arial"/>
      <family val="2"/>
    </font>
    <font>
      <vertAlign val="superscript"/>
      <sz val="10"/>
      <color indexed="12"/>
      <name val="Arial Narrow"/>
      <family val="2"/>
    </font>
    <font>
      <sz val="9"/>
      <name val="Arial Narrow"/>
      <family val="2"/>
    </font>
    <font>
      <b/>
      <i/>
      <sz val="8"/>
      <name val="Arial Narrow"/>
      <family val="2"/>
    </font>
    <font>
      <b/>
      <sz val="14"/>
      <color indexed="12"/>
      <name val="Arial"/>
      <family val="2"/>
    </font>
    <font>
      <b/>
      <sz val="12"/>
      <name val="Arial"/>
      <family val="2"/>
    </font>
    <font>
      <b/>
      <sz val="14"/>
      <name val="Arial Narrow"/>
      <family val="2"/>
    </font>
    <font>
      <b/>
      <sz val="11"/>
      <name val="Arial"/>
      <family val="2"/>
    </font>
    <font>
      <sz val="11"/>
      <name val="Arial"/>
      <family val="2"/>
    </font>
    <font>
      <b/>
      <sz val="9"/>
      <name val="Arial"/>
      <family val="2"/>
    </font>
    <font>
      <b/>
      <sz val="8"/>
      <name val="Arial"/>
      <family val="2"/>
    </font>
    <font>
      <b/>
      <sz val="9"/>
      <color indexed="81"/>
      <name val="Tahoma"/>
      <family val="2"/>
    </font>
    <font>
      <sz val="9"/>
      <color indexed="81"/>
      <name val="Tahoma"/>
      <family val="2"/>
    </font>
    <font>
      <b/>
      <sz val="11"/>
      <color indexed="81"/>
      <name val="Tahoma"/>
      <family val="2"/>
    </font>
    <font>
      <b/>
      <u/>
      <sz val="10"/>
      <name val="Arial"/>
      <family val="2"/>
    </font>
    <font>
      <sz val="11"/>
      <color rgb="FFFF0000"/>
      <name val="Calibri"/>
      <family val="2"/>
      <scheme val="minor"/>
    </font>
    <font>
      <sz val="10"/>
      <color rgb="FFFF0000"/>
      <name val="Arial"/>
      <family val="2"/>
    </font>
    <font>
      <sz val="10"/>
      <color rgb="FFFF0000"/>
      <name val="Arial Narrow"/>
      <family val="2"/>
    </font>
    <font>
      <b/>
      <i/>
      <sz val="10"/>
      <color rgb="FF0000FF"/>
      <name val="Arial Narrow"/>
      <family val="2"/>
    </font>
    <font>
      <sz val="10"/>
      <color rgb="FF0000FF"/>
      <name val="Arial Narrow"/>
      <family val="2"/>
    </font>
    <font>
      <i/>
      <sz val="9"/>
      <color rgb="FF0000FF"/>
      <name val="Arial Narrow"/>
      <family val="2"/>
    </font>
    <font>
      <sz val="10"/>
      <color rgb="FF0000FF"/>
      <name val="Arial"/>
      <family val="2"/>
    </font>
    <font>
      <b/>
      <sz val="10"/>
      <color rgb="FF0000FF"/>
      <name val="Arial Narrow"/>
      <family val="2"/>
    </font>
    <font>
      <i/>
      <sz val="10"/>
      <color rgb="FF0000FF"/>
      <name val="Arial Narrow"/>
      <family val="2"/>
    </font>
    <font>
      <b/>
      <i/>
      <sz val="10"/>
      <color rgb="FF00B050"/>
      <name val="Arial Narrow"/>
      <family val="2"/>
    </font>
    <font>
      <b/>
      <i/>
      <sz val="10"/>
      <color rgb="FF00B050"/>
      <name val="Arial"/>
      <family val="2"/>
    </font>
    <font>
      <sz val="9"/>
      <color rgb="FFFF0000"/>
      <name val="Arial Narrow"/>
      <family val="2"/>
    </font>
    <font>
      <b/>
      <sz val="10"/>
      <color rgb="FFFF0000"/>
      <name val="Arial Narrow"/>
      <family val="2"/>
    </font>
    <font>
      <b/>
      <i/>
      <sz val="10"/>
      <color rgb="FF0000FF"/>
      <name val="Arial"/>
      <family val="2"/>
    </font>
    <font>
      <b/>
      <i/>
      <sz val="10"/>
      <color theme="1"/>
      <name val="Arial Narrow"/>
      <family val="2"/>
    </font>
    <font>
      <sz val="11"/>
      <color theme="9" tint="-0.249977111117893"/>
      <name val="Arial Narrow"/>
      <family val="2"/>
    </font>
    <font>
      <b/>
      <sz val="11"/>
      <color theme="9" tint="-0.249977111117893"/>
      <name val="Arial Narrow"/>
      <family val="2"/>
    </font>
    <font>
      <b/>
      <sz val="10"/>
      <color rgb="FFFF0000"/>
      <name val="Arial"/>
      <family val="2"/>
    </font>
    <font>
      <sz val="10"/>
      <color theme="9" tint="-0.249977111117893"/>
      <name val="Arial Narrow"/>
      <family val="2"/>
    </font>
    <font>
      <b/>
      <sz val="11"/>
      <color rgb="FFFF0000"/>
      <name val="Arial Narrow"/>
      <family val="2"/>
    </font>
    <font>
      <sz val="10"/>
      <color theme="0" tint="-0.249977111117893"/>
      <name val="Arial"/>
      <family val="2"/>
    </font>
    <font>
      <sz val="10"/>
      <color theme="0" tint="-0.14999847407452621"/>
      <name val="Arial"/>
      <family val="2"/>
    </font>
    <font>
      <b/>
      <sz val="16"/>
      <color rgb="FF0000FF"/>
      <name val="Arial"/>
      <family val="2"/>
    </font>
    <font>
      <b/>
      <sz val="10"/>
      <color theme="0" tint="-0.14999847407452621"/>
      <name val="Arial"/>
      <family val="2"/>
    </font>
    <font>
      <sz val="8"/>
      <color rgb="FF0066FF"/>
      <name val="Arial"/>
      <family val="2"/>
    </font>
    <font>
      <b/>
      <sz val="10"/>
      <color theme="3" tint="-0.249977111117893"/>
      <name val="Arial"/>
      <family val="2"/>
    </font>
    <font>
      <b/>
      <sz val="10"/>
      <color rgb="FF0000FF"/>
      <name val="Arial"/>
      <family val="2"/>
    </font>
    <font>
      <sz val="10"/>
      <color theme="3" tint="-0.249977111117893"/>
      <name val="Arial"/>
      <family val="2"/>
    </font>
    <font>
      <sz val="10"/>
      <color theme="4" tint="0.39997558519241921"/>
      <name val="Arial"/>
      <family val="2"/>
    </font>
    <font>
      <sz val="10"/>
      <color rgb="FF0066FF"/>
      <name val="Arial"/>
      <family val="2"/>
    </font>
    <font>
      <b/>
      <sz val="10"/>
      <color rgb="FF0066FF"/>
      <name val="Arial"/>
      <family val="2"/>
    </font>
    <font>
      <sz val="8"/>
      <color rgb="FF0000FF"/>
      <name val="Arial"/>
      <family val="2"/>
    </font>
    <font>
      <b/>
      <sz val="8"/>
      <color rgb="FFC00000"/>
      <name val="Arial"/>
      <family val="2"/>
    </font>
    <font>
      <b/>
      <sz val="8"/>
      <color rgb="FFFFC000"/>
      <name val="Arial"/>
      <family val="2"/>
    </font>
    <font>
      <b/>
      <sz val="9"/>
      <name val="Arial Narrow"/>
      <family val="2"/>
    </font>
    <font>
      <b/>
      <i/>
      <sz val="9"/>
      <color rgb="FF0000FF"/>
      <name val="Arial Narrow"/>
      <family val="2"/>
    </font>
    <font>
      <b/>
      <i/>
      <sz val="11"/>
      <color rgb="FF0000FF"/>
      <name val="Arial Narrow"/>
      <family val="2"/>
    </font>
    <font>
      <b/>
      <sz val="9"/>
      <color indexed="12"/>
      <name val="Arial Narrow"/>
      <family val="2"/>
    </font>
    <font>
      <b/>
      <i/>
      <sz val="10"/>
      <color rgb="FFFF0000"/>
      <name val="Arial Narrow"/>
      <family val="2"/>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00FF"/>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rgb="FF219F93"/>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s>
  <borders count="2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0" fontId="30" fillId="0" borderId="0" applyNumberFormat="0" applyFill="0" applyBorder="0" applyAlignment="0" applyProtection="0">
      <alignment vertical="top"/>
      <protection locked="0"/>
    </xf>
    <xf numFmtId="9" fontId="1" fillId="0" borderId="0" applyFont="0" applyFill="0" applyBorder="0" applyAlignment="0" applyProtection="0"/>
  </cellStyleXfs>
  <cellXfs count="430">
    <xf numFmtId="0" fontId="0" fillId="0" borderId="0" xfId="0"/>
    <xf numFmtId="0" fontId="3" fillId="0" borderId="0" xfId="0" applyFont="1"/>
    <xf numFmtId="0" fontId="7" fillId="0" borderId="0" xfId="0" applyFont="1"/>
    <xf numFmtId="0" fontId="7" fillId="0" borderId="0" xfId="0" applyFont="1" applyAlignment="1">
      <alignment horizontal="left"/>
    </xf>
    <xf numFmtId="0" fontId="12" fillId="0" borderId="0" xfId="0" applyFont="1" applyAlignment="1">
      <alignment horizontal="center"/>
    </xf>
    <xf numFmtId="0" fontId="1" fillId="0" borderId="0" xfId="0" applyFont="1"/>
    <xf numFmtId="0" fontId="15" fillId="0" borderId="0" xfId="0" applyFont="1"/>
    <xf numFmtId="0" fontId="19" fillId="0" borderId="0" xfId="0" applyFont="1"/>
    <xf numFmtId="0" fontId="17" fillId="0" borderId="0" xfId="0" applyFont="1"/>
    <xf numFmtId="3" fontId="17" fillId="0" borderId="0" xfId="0" applyNumberFormat="1" applyFont="1"/>
    <xf numFmtId="166" fontId="17" fillId="0" borderId="0" xfId="0" applyNumberFormat="1" applyFont="1"/>
    <xf numFmtId="0" fontId="18" fillId="0" borderId="0" xfId="0" applyFont="1"/>
    <xf numFmtId="3" fontId="17" fillId="0" borderId="0" xfId="0" applyNumberFormat="1" applyFont="1" applyAlignment="1">
      <alignment horizontal="center"/>
    </xf>
    <xf numFmtId="4" fontId="17" fillId="0" borderId="0" xfId="0" applyNumberFormat="1" applyFont="1"/>
    <xf numFmtId="3" fontId="20" fillId="0" borderId="0" xfId="0" applyNumberFormat="1" applyFont="1"/>
    <xf numFmtId="1" fontId="3" fillId="0" borderId="0" xfId="0" applyNumberFormat="1" applyFont="1"/>
    <xf numFmtId="0" fontId="16" fillId="0" borderId="0" xfId="0" applyFont="1"/>
    <xf numFmtId="0" fontId="14" fillId="0" borderId="0" xfId="0" applyFont="1" applyAlignment="1">
      <alignment horizontal="center"/>
    </xf>
    <xf numFmtId="0" fontId="23" fillId="0" borderId="0" xfId="0" applyFont="1"/>
    <xf numFmtId="0" fontId="21" fillId="0" borderId="0" xfId="0" applyFont="1" applyAlignment="1">
      <alignment horizontal="left"/>
    </xf>
    <xf numFmtId="0" fontId="25" fillId="0" borderId="0" xfId="0" applyFont="1" applyAlignment="1">
      <alignment horizontal="left"/>
    </xf>
    <xf numFmtId="0" fontId="24" fillId="0" borderId="0" xfId="0" applyFont="1" applyAlignment="1">
      <alignment horizontal="center"/>
    </xf>
    <xf numFmtId="2" fontId="26" fillId="0" borderId="0" xfId="0" applyNumberFormat="1" applyFont="1" applyAlignment="1">
      <alignment horizontal="center"/>
    </xf>
    <xf numFmtId="1" fontId="26" fillId="0" borderId="0" xfId="0" applyNumberFormat="1" applyFont="1" applyAlignment="1">
      <alignment horizontal="center"/>
    </xf>
    <xf numFmtId="0" fontId="11" fillId="0" borderId="0" xfId="0" applyFont="1"/>
    <xf numFmtId="0" fontId="3" fillId="0" borderId="0" xfId="0" applyFont="1" applyAlignment="1">
      <alignment horizontal="center"/>
    </xf>
    <xf numFmtId="2" fontId="9" fillId="0" borderId="0" xfId="0" applyNumberFormat="1" applyFont="1" applyAlignment="1">
      <alignment horizontal="center"/>
    </xf>
    <xf numFmtId="2" fontId="31" fillId="0" borderId="0" xfId="0" applyNumberFormat="1" applyFont="1" applyAlignment="1">
      <alignment horizontal="center"/>
    </xf>
    <xf numFmtId="2" fontId="12" fillId="0" borderId="0" xfId="0" applyNumberFormat="1" applyFont="1" applyAlignment="1">
      <alignment horizontal="center"/>
    </xf>
    <xf numFmtId="0" fontId="49" fillId="0" borderId="0" xfId="0" applyFont="1"/>
    <xf numFmtId="0" fontId="50" fillId="0" borderId="0" xfId="0" applyFont="1" applyAlignment="1">
      <alignment horizontal="left"/>
    </xf>
    <xf numFmtId="0" fontId="50" fillId="0" borderId="0" xfId="0" applyFont="1"/>
    <xf numFmtId="164" fontId="50" fillId="0" borderId="0" xfId="0" applyNumberFormat="1" applyFont="1"/>
    <xf numFmtId="0" fontId="52" fillId="0" borderId="0" xfId="0" applyFont="1" applyAlignment="1">
      <alignment horizontal="left"/>
    </xf>
    <xf numFmtId="0" fontId="52" fillId="0" borderId="0" xfId="0" applyFont="1"/>
    <xf numFmtId="0" fontId="53" fillId="0" borderId="0" xfId="0" applyFont="1" applyAlignment="1">
      <alignment horizontal="center"/>
    </xf>
    <xf numFmtId="2" fontId="50" fillId="0" borderId="0" xfId="0" applyNumberFormat="1" applyFont="1"/>
    <xf numFmtId="0" fontId="55" fillId="0" borderId="0" xfId="0" applyFont="1"/>
    <xf numFmtId="2" fontId="52" fillId="0" borderId="0" xfId="0" applyNumberFormat="1" applyFont="1"/>
    <xf numFmtId="0" fontId="56" fillId="0" borderId="0" xfId="0" applyFont="1" applyAlignment="1">
      <alignment horizontal="center"/>
    </xf>
    <xf numFmtId="0" fontId="57" fillId="0" borderId="0" xfId="0" applyFont="1" applyAlignment="1">
      <alignment horizontal="center"/>
    </xf>
    <xf numFmtId="3" fontId="57" fillId="0" borderId="0" xfId="0" applyNumberFormat="1" applyFont="1" applyAlignment="1">
      <alignment horizontal="center"/>
    </xf>
    <xf numFmtId="168" fontId="57" fillId="0" borderId="0" xfId="0" applyNumberFormat="1" applyFont="1" applyAlignment="1">
      <alignment horizontal="center"/>
    </xf>
    <xf numFmtId="10" fontId="58" fillId="0" borderId="0" xfId="2" applyNumberFormat="1" applyFont="1"/>
    <xf numFmtId="166" fontId="57" fillId="0" borderId="0" xfId="0" applyNumberFormat="1" applyFont="1" applyAlignment="1">
      <alignment horizontal="center"/>
    </xf>
    <xf numFmtId="0" fontId="35" fillId="0" borderId="0" xfId="0" applyFont="1"/>
    <xf numFmtId="0" fontId="32" fillId="0" borderId="0" xfId="0" applyFont="1"/>
    <xf numFmtId="0" fontId="59" fillId="0" borderId="0" xfId="0" applyFont="1"/>
    <xf numFmtId="0" fontId="24" fillId="0" borderId="0" xfId="0" applyFont="1"/>
    <xf numFmtId="164" fontId="3" fillId="0" borderId="0" xfId="0" applyNumberFormat="1" applyFont="1"/>
    <xf numFmtId="0" fontId="60" fillId="0" borderId="0" xfId="0" applyFont="1"/>
    <xf numFmtId="0" fontId="55" fillId="0" borderId="0" xfId="0" applyFont="1" applyAlignment="1">
      <alignment horizontal="center"/>
    </xf>
    <xf numFmtId="2" fontId="55" fillId="0" borderId="0" xfId="0" applyNumberFormat="1" applyFont="1"/>
    <xf numFmtId="0" fontId="35" fillId="0" borderId="0" xfId="0" applyFont="1" applyAlignment="1">
      <alignment horizontal="center"/>
    </xf>
    <xf numFmtId="1" fontId="55" fillId="0" borderId="0" xfId="0" applyNumberFormat="1" applyFont="1" applyAlignment="1">
      <alignment horizontal="center"/>
    </xf>
    <xf numFmtId="2" fontId="14" fillId="0" borderId="0" xfId="0" applyNumberFormat="1" applyFont="1"/>
    <xf numFmtId="165" fontId="14" fillId="0" borderId="0" xfId="0" applyNumberFormat="1" applyFont="1"/>
    <xf numFmtId="0" fontId="53" fillId="0" borderId="0" xfId="0" applyFont="1"/>
    <xf numFmtId="165" fontId="3" fillId="0" borderId="0" xfId="0" applyNumberFormat="1" applyFont="1"/>
    <xf numFmtId="2" fontId="49" fillId="0" borderId="0" xfId="0" applyNumberFormat="1" applyFont="1"/>
    <xf numFmtId="0" fontId="16" fillId="0" borderId="0" xfId="0" applyFont="1" applyAlignment="1">
      <alignment horizontal="center"/>
    </xf>
    <xf numFmtId="0" fontId="62" fillId="0" borderId="0" xfId="0" applyFont="1"/>
    <xf numFmtId="0" fontId="48" fillId="0" borderId="0" xfId="0" applyFont="1"/>
    <xf numFmtId="0" fontId="63" fillId="0" borderId="0" xfId="0" applyFont="1" applyAlignment="1">
      <alignment horizontal="center"/>
    </xf>
    <xf numFmtId="2" fontId="64" fillId="0" borderId="0" xfId="0" applyNumberFormat="1" applyFont="1" applyAlignment="1">
      <alignment horizontal="center"/>
    </xf>
    <xf numFmtId="0" fontId="36" fillId="0" borderId="0" xfId="0" applyFont="1" applyAlignment="1">
      <alignment horizontal="center"/>
    </xf>
    <xf numFmtId="164" fontId="61" fillId="0" borderId="0" xfId="0" applyNumberFormat="1" applyFont="1"/>
    <xf numFmtId="1" fontId="60" fillId="0" borderId="0" xfId="0" applyNumberFormat="1" applyFont="1" applyAlignment="1">
      <alignment horizontal="center"/>
    </xf>
    <xf numFmtId="0" fontId="60" fillId="0" borderId="0" xfId="0" applyFont="1" applyAlignment="1">
      <alignment horizontal="center"/>
    </xf>
    <xf numFmtId="2" fontId="67" fillId="0" borderId="0" xfId="0" applyNumberFormat="1" applyFont="1"/>
    <xf numFmtId="0" fontId="61" fillId="0" borderId="0" xfId="0" applyFont="1" applyAlignment="1">
      <alignment horizontal="center"/>
    </xf>
    <xf numFmtId="0" fontId="68" fillId="2" borderId="0" xfId="0" applyFont="1" applyFill="1" applyAlignment="1">
      <alignment horizontal="center"/>
    </xf>
    <xf numFmtId="0" fontId="68" fillId="2" borderId="0" xfId="0" applyFont="1" applyFill="1" applyAlignment="1">
      <alignment horizontal="center" vertical="center"/>
    </xf>
    <xf numFmtId="0" fontId="0" fillId="3" borderId="0" xfId="0" applyFill="1"/>
    <xf numFmtId="0" fontId="69" fillId="3" borderId="0" xfId="0" applyFont="1" applyFill="1"/>
    <xf numFmtId="0" fontId="0" fillId="3" borderId="0" xfId="0" applyFill="1" applyAlignment="1">
      <alignment horizontal="center" vertical="center"/>
    </xf>
    <xf numFmtId="0" fontId="0" fillId="4" borderId="0" xfId="0" applyFill="1" applyAlignment="1">
      <alignment horizontal="center" vertical="center"/>
    </xf>
    <xf numFmtId="0" fontId="0" fillId="2" borderId="0" xfId="0" applyFill="1" applyAlignment="1">
      <alignment horizontal="center" vertical="center"/>
    </xf>
    <xf numFmtId="0" fontId="38" fillId="0" borderId="0" xfId="0" applyFont="1" applyAlignment="1">
      <alignment horizontal="center" vertical="center"/>
    </xf>
    <xf numFmtId="0" fontId="70" fillId="2" borderId="0" xfId="0" applyFont="1" applyFill="1" applyAlignment="1">
      <alignment horizontal="center" vertical="center" wrapText="1"/>
    </xf>
    <xf numFmtId="0" fontId="0" fillId="3" borderId="0" xfId="0" applyFill="1" applyAlignment="1">
      <alignment vertical="center"/>
    </xf>
    <xf numFmtId="0" fontId="0" fillId="4" borderId="0" xfId="0" applyFill="1" applyAlignment="1">
      <alignment vertical="center"/>
    </xf>
    <xf numFmtId="0" fontId="32" fillId="2" borderId="0" xfId="0" applyFont="1" applyFill="1" applyAlignment="1">
      <alignment horizontal="center" vertical="center"/>
    </xf>
    <xf numFmtId="169" fontId="71" fillId="3" borderId="0" xfId="0" applyNumberFormat="1" applyFont="1" applyFill="1" applyAlignment="1">
      <alignment horizontal="left" vertical="center"/>
    </xf>
    <xf numFmtId="1" fontId="69" fillId="3" borderId="0" xfId="0" applyNumberFormat="1" applyFont="1" applyFill="1" applyAlignment="1">
      <alignment horizontal="left"/>
    </xf>
    <xf numFmtId="0" fontId="0" fillId="2" borderId="0" xfId="0" applyFill="1" applyAlignment="1">
      <alignment horizontal="left" vertical="center"/>
    </xf>
    <xf numFmtId="0" fontId="69" fillId="3" borderId="0" xfId="0" applyFont="1" applyFill="1" applyAlignment="1">
      <alignment horizontal="left"/>
    </xf>
    <xf numFmtId="0" fontId="38" fillId="3" borderId="0" xfId="0" applyFont="1" applyFill="1" applyAlignment="1">
      <alignment horizontal="left" vertical="center"/>
    </xf>
    <xf numFmtId="0" fontId="38" fillId="4" borderId="0" xfId="0" applyFont="1" applyFill="1" applyAlignment="1">
      <alignment horizontal="left" vertical="center"/>
    </xf>
    <xf numFmtId="0" fontId="32" fillId="2" borderId="0" xfId="0" applyFont="1" applyFill="1" applyAlignment="1">
      <alignment horizontal="left" vertical="center"/>
    </xf>
    <xf numFmtId="170" fontId="71" fillId="3" borderId="0" xfId="0" applyNumberFormat="1" applyFont="1" applyFill="1" applyAlignment="1">
      <alignment horizontal="left" vertical="center"/>
    </xf>
    <xf numFmtId="0" fontId="38" fillId="3" borderId="0" xfId="0" applyFont="1" applyFill="1" applyAlignment="1">
      <alignment horizontal="center" vertical="center"/>
    </xf>
    <xf numFmtId="0" fontId="32" fillId="3" borderId="0" xfId="0" applyFont="1" applyFill="1" applyAlignment="1">
      <alignment horizontal="left" vertical="center"/>
    </xf>
    <xf numFmtId="0" fontId="0" fillId="4" borderId="0" xfId="0" applyFill="1" applyAlignment="1">
      <alignment horizontal="left" vertical="center"/>
    </xf>
    <xf numFmtId="0" fontId="16" fillId="5" borderId="2" xfId="0" applyFont="1" applyFill="1" applyBorder="1" applyAlignment="1">
      <alignment vertical="center"/>
    </xf>
    <xf numFmtId="0" fontId="0" fillId="2" borderId="0" xfId="0" applyFill="1" applyAlignment="1">
      <alignment vertical="center"/>
    </xf>
    <xf numFmtId="171" fontId="16" fillId="2" borderId="2" xfId="0" applyNumberFormat="1" applyFont="1" applyFill="1" applyBorder="1" applyAlignment="1">
      <alignment horizontal="right" vertical="center"/>
    </xf>
    <xf numFmtId="0" fontId="16" fillId="3" borderId="0" xfId="0" applyFont="1" applyFill="1" applyAlignment="1">
      <alignment vertical="center"/>
    </xf>
    <xf numFmtId="0" fontId="16" fillId="6" borderId="2" xfId="0" applyFont="1" applyFill="1" applyBorder="1" applyAlignment="1" applyProtection="1">
      <alignment horizontal="center" vertical="center"/>
      <protection locked="0"/>
    </xf>
    <xf numFmtId="0" fontId="16" fillId="7" borderId="0" xfId="0" applyFont="1" applyFill="1" applyAlignment="1">
      <alignment horizontal="center" vertical="center"/>
    </xf>
    <xf numFmtId="0" fontId="16" fillId="6" borderId="3" xfId="0" applyFont="1" applyFill="1" applyBorder="1" applyAlignment="1" applyProtection="1">
      <alignment horizontal="center" vertical="center"/>
      <protection locked="0"/>
    </xf>
    <xf numFmtId="0" fontId="0" fillId="0" borderId="2" xfId="0" applyBorder="1" applyAlignment="1">
      <alignment horizontal="left" vertical="center"/>
    </xf>
    <xf numFmtId="0" fontId="16" fillId="3" borderId="0" xfId="0" applyFont="1" applyFill="1" applyAlignment="1">
      <alignment horizontal="left" vertical="center"/>
    </xf>
    <xf numFmtId="0" fontId="16" fillId="8" borderId="2" xfId="0" applyFont="1" applyFill="1" applyBorder="1" applyAlignment="1">
      <alignment horizontal="center" vertical="center"/>
    </xf>
    <xf numFmtId="172" fontId="16" fillId="2" borderId="2" xfId="0" applyNumberFormat="1" applyFont="1" applyFill="1" applyBorder="1" applyAlignment="1">
      <alignment horizontal="right" vertical="center"/>
    </xf>
    <xf numFmtId="0" fontId="32" fillId="3" borderId="0" xfId="0" applyFont="1" applyFill="1" applyAlignment="1">
      <alignment vertical="center"/>
    </xf>
    <xf numFmtId="0" fontId="16" fillId="5" borderId="2" xfId="0" applyFont="1" applyFill="1" applyBorder="1" applyAlignment="1">
      <alignment horizontal="left" vertical="center"/>
    </xf>
    <xf numFmtId="0" fontId="16" fillId="3" borderId="0" xfId="0" applyFont="1" applyFill="1" applyAlignment="1">
      <alignment horizontal="center" vertical="center"/>
    </xf>
    <xf numFmtId="0" fontId="42" fillId="9" borderId="2" xfId="0" applyFont="1" applyFill="1" applyBorder="1" applyAlignment="1">
      <alignment horizontal="right" vertical="center" wrapText="1"/>
    </xf>
    <xf numFmtId="174" fontId="16" fillId="2" borderId="2" xfId="0" applyNumberFormat="1" applyFont="1" applyFill="1" applyBorder="1" applyAlignment="1">
      <alignment horizontal="right" vertical="center"/>
    </xf>
    <xf numFmtId="0" fontId="0" fillId="3" borderId="0" xfId="0" applyFill="1" applyAlignment="1">
      <alignment horizontal="left" vertical="center"/>
    </xf>
    <xf numFmtId="176" fontId="16" fillId="6" borderId="3" xfId="0" applyNumberFormat="1" applyFont="1" applyFill="1" applyBorder="1" applyAlignment="1" applyProtection="1">
      <alignment horizontal="center" vertical="center"/>
      <protection locked="0"/>
    </xf>
    <xf numFmtId="176" fontId="16" fillId="6" borderId="4" xfId="0" applyNumberFormat="1" applyFont="1" applyFill="1" applyBorder="1" applyAlignment="1" applyProtection="1">
      <alignment horizontal="center" vertical="center"/>
      <protection locked="0"/>
    </xf>
    <xf numFmtId="175" fontId="16" fillId="6" borderId="5" xfId="0" applyNumberFormat="1" applyFont="1" applyFill="1" applyBorder="1" applyAlignment="1" applyProtection="1">
      <alignment horizontal="right" vertical="center"/>
      <protection locked="0"/>
    </xf>
    <xf numFmtId="172" fontId="16" fillId="9" borderId="2" xfId="0" applyNumberFormat="1" applyFont="1" applyFill="1" applyBorder="1" applyAlignment="1">
      <alignment horizontal="right" vertical="center" wrapText="1"/>
    </xf>
    <xf numFmtId="177" fontId="16" fillId="2" borderId="2" xfId="0" applyNumberFormat="1" applyFont="1" applyFill="1" applyBorder="1" applyAlignment="1">
      <alignment horizontal="right" vertical="center"/>
    </xf>
    <xf numFmtId="173" fontId="0" fillId="3" borderId="0" xfId="0" applyNumberFormat="1" applyFill="1" applyAlignment="1">
      <alignment vertical="center"/>
    </xf>
    <xf numFmtId="172" fontId="16" fillId="9" borderId="2" xfId="0" applyNumberFormat="1" applyFont="1" applyFill="1" applyBorder="1" applyAlignment="1">
      <alignment horizontal="right" vertical="center"/>
    </xf>
    <xf numFmtId="175" fontId="16" fillId="2" borderId="2" xfId="0" applyNumberFormat="1" applyFont="1" applyFill="1" applyBorder="1" applyAlignment="1">
      <alignment horizontal="right" vertical="center"/>
    </xf>
    <xf numFmtId="0" fontId="49" fillId="3" borderId="0" xfId="0" applyFont="1" applyFill="1" applyAlignment="1">
      <alignment vertical="center"/>
    </xf>
    <xf numFmtId="173" fontId="49" fillId="3" borderId="0" xfId="0" applyNumberFormat="1" applyFont="1" applyFill="1" applyAlignment="1">
      <alignment vertical="center"/>
    </xf>
    <xf numFmtId="178" fontId="16" fillId="2" borderId="2" xfId="0" applyNumberFormat="1" applyFont="1" applyFill="1" applyBorder="1" applyAlignment="1">
      <alignment horizontal="center" vertical="center"/>
    </xf>
    <xf numFmtId="177" fontId="16" fillId="2" borderId="2" xfId="0" applyNumberFormat="1" applyFont="1" applyFill="1" applyBorder="1" applyAlignment="1">
      <alignment horizontal="center" vertical="center"/>
    </xf>
    <xf numFmtId="179" fontId="0" fillId="3" borderId="0" xfId="0" applyNumberFormat="1" applyFill="1" applyAlignment="1">
      <alignment horizontal="center" vertical="center"/>
    </xf>
    <xf numFmtId="171" fontId="16" fillId="2" borderId="2" xfId="0" applyNumberFormat="1" applyFont="1" applyFill="1" applyBorder="1" applyAlignment="1">
      <alignment horizontal="center" vertical="center"/>
    </xf>
    <xf numFmtId="172" fontId="16" fillId="2" borderId="2" xfId="0" applyNumberFormat="1" applyFont="1" applyFill="1" applyBorder="1" applyAlignment="1">
      <alignment horizontal="center" vertical="center"/>
    </xf>
    <xf numFmtId="180" fontId="16" fillId="9" borderId="2" xfId="0" applyNumberFormat="1" applyFont="1" applyFill="1" applyBorder="1" applyAlignment="1">
      <alignment horizontal="right" vertical="center"/>
    </xf>
    <xf numFmtId="181" fontId="16" fillId="2" borderId="2" xfId="0" applyNumberFormat="1" applyFont="1" applyFill="1" applyBorder="1" applyAlignment="1">
      <alignment horizontal="right" vertical="center"/>
    </xf>
    <xf numFmtId="172" fontId="38" fillId="9" borderId="2" xfId="0" applyNumberFormat="1" applyFont="1" applyFill="1" applyBorder="1" applyAlignment="1">
      <alignment horizontal="right" vertical="center"/>
    </xf>
    <xf numFmtId="0" fontId="72" fillId="2" borderId="0" xfId="0" applyFont="1" applyFill="1" applyAlignment="1">
      <alignment vertical="center"/>
    </xf>
    <xf numFmtId="182" fontId="16" fillId="2" borderId="2" xfId="0" applyNumberFormat="1" applyFont="1" applyFill="1" applyBorder="1" applyAlignment="1">
      <alignment horizontal="right" vertical="center"/>
    </xf>
    <xf numFmtId="182" fontId="16" fillId="9" borderId="2" xfId="0" applyNumberFormat="1" applyFont="1" applyFill="1" applyBorder="1" applyAlignment="1">
      <alignment horizontal="right" vertical="center"/>
    </xf>
    <xf numFmtId="0" fontId="0" fillId="2" borderId="0" xfId="0" applyFill="1" applyAlignment="1">
      <alignment horizontal="center"/>
    </xf>
    <xf numFmtId="173" fontId="0" fillId="3" borderId="0" xfId="0" applyNumberFormat="1" applyFill="1" applyAlignment="1">
      <alignment horizontal="right" vertical="center"/>
    </xf>
    <xf numFmtId="0" fontId="38" fillId="3" borderId="0" xfId="0" applyFont="1" applyFill="1" applyAlignment="1">
      <alignment horizontal="right" vertical="center"/>
    </xf>
    <xf numFmtId="173" fontId="49" fillId="3" borderId="0" xfId="0" applyNumberFormat="1" applyFont="1" applyFill="1" applyAlignment="1">
      <alignment horizontal="right" vertical="center"/>
    </xf>
    <xf numFmtId="173" fontId="0" fillId="3" borderId="0" xfId="0" applyNumberFormat="1" applyFill="1" applyAlignment="1">
      <alignment horizontal="center" vertical="center"/>
    </xf>
    <xf numFmtId="0" fontId="0" fillId="2" borderId="0" xfId="0" applyFill="1"/>
    <xf numFmtId="184" fontId="16" fillId="9" borderId="2" xfId="0" applyNumberFormat="1" applyFont="1" applyFill="1" applyBorder="1" applyAlignment="1">
      <alignment horizontal="right" vertical="center"/>
    </xf>
    <xf numFmtId="184" fontId="0" fillId="2" borderId="0" xfId="0" applyNumberFormat="1" applyFill="1"/>
    <xf numFmtId="0" fontId="38" fillId="10" borderId="2" xfId="0" applyFont="1" applyFill="1" applyBorder="1" applyAlignment="1">
      <alignment vertical="center"/>
    </xf>
    <xf numFmtId="172" fontId="38" fillId="10" borderId="2" xfId="0" applyNumberFormat="1" applyFont="1" applyFill="1" applyBorder="1" applyAlignment="1">
      <alignment horizontal="right" vertical="center"/>
    </xf>
    <xf numFmtId="0" fontId="38" fillId="7" borderId="2" xfId="0" applyFont="1" applyFill="1" applyBorder="1" applyAlignment="1">
      <alignment vertical="center"/>
    </xf>
    <xf numFmtId="171" fontId="16" fillId="7" borderId="2" xfId="0" applyNumberFormat="1" applyFont="1" applyFill="1" applyBorder="1" applyAlignment="1">
      <alignment horizontal="center" vertical="center"/>
    </xf>
    <xf numFmtId="0" fontId="16" fillId="11" borderId="2" xfId="0" applyFont="1" applyFill="1" applyBorder="1" applyAlignment="1" applyProtection="1">
      <alignment horizontal="center" vertical="center"/>
      <protection locked="0"/>
    </xf>
    <xf numFmtId="0" fontId="16" fillId="2" borderId="2" xfId="0" applyFont="1" applyFill="1" applyBorder="1" applyAlignment="1">
      <alignment vertical="center"/>
    </xf>
    <xf numFmtId="171" fontId="73" fillId="2" borderId="2" xfId="0" applyNumberFormat="1" applyFont="1" applyFill="1" applyBorder="1" applyAlignment="1">
      <alignment horizontal="center" vertical="center"/>
    </xf>
    <xf numFmtId="173" fontId="32" fillId="3" borderId="0" xfId="0" applyNumberFormat="1" applyFont="1" applyFill="1" applyAlignment="1">
      <alignment vertical="center"/>
    </xf>
    <xf numFmtId="0" fontId="74" fillId="2" borderId="0" xfId="0" applyFont="1" applyFill="1"/>
    <xf numFmtId="4" fontId="75" fillId="2" borderId="0" xfId="0" applyNumberFormat="1" applyFont="1" applyFill="1" applyAlignment="1">
      <alignment horizontal="center" vertical="center"/>
    </xf>
    <xf numFmtId="0" fontId="32" fillId="3" borderId="0" xfId="0" applyFont="1" applyFill="1"/>
    <xf numFmtId="0" fontId="43" fillId="5" borderId="2" xfId="0" applyFont="1" applyFill="1" applyBorder="1" applyAlignment="1">
      <alignment vertical="center"/>
    </xf>
    <xf numFmtId="0" fontId="43" fillId="2" borderId="2" xfId="0" applyFont="1" applyFill="1" applyBorder="1" applyAlignment="1">
      <alignment vertical="center"/>
    </xf>
    <xf numFmtId="180" fontId="16" fillId="3" borderId="0" xfId="0" applyNumberFormat="1" applyFont="1" applyFill="1" applyAlignment="1">
      <alignment horizontal="center" vertical="center"/>
    </xf>
    <xf numFmtId="185" fontId="16" fillId="3" borderId="0" xfId="0" applyNumberFormat="1" applyFont="1" applyFill="1" applyAlignment="1">
      <alignment horizontal="center" vertical="center"/>
    </xf>
    <xf numFmtId="185" fontId="65" fillId="3" borderId="0" xfId="0" applyNumberFormat="1" applyFont="1" applyFill="1" applyAlignment="1">
      <alignment horizontal="center" vertical="center"/>
    </xf>
    <xf numFmtId="0" fontId="16" fillId="2" borderId="0" xfId="0" applyFont="1" applyFill="1" applyAlignment="1">
      <alignment vertical="center"/>
    </xf>
    <xf numFmtId="180" fontId="65" fillId="3" borderId="0" xfId="0" applyNumberFormat="1" applyFont="1" applyFill="1" applyAlignment="1">
      <alignment horizontal="center" vertical="center"/>
    </xf>
    <xf numFmtId="0" fontId="0" fillId="12" borderId="0" xfId="0" applyFill="1" applyAlignment="1">
      <alignment horizontal="center" vertical="center"/>
    </xf>
    <xf numFmtId="0" fontId="16" fillId="6" borderId="2" xfId="0" applyFont="1" applyFill="1" applyBorder="1" applyAlignment="1" applyProtection="1">
      <alignment vertical="center"/>
      <protection locked="0"/>
    </xf>
    <xf numFmtId="0" fontId="16" fillId="0" borderId="2" xfId="0" applyFont="1" applyBorder="1" applyAlignment="1">
      <alignment vertical="center"/>
    </xf>
    <xf numFmtId="171" fontId="73" fillId="0" borderId="2" xfId="0" applyNumberFormat="1" applyFont="1" applyBorder="1" applyAlignment="1">
      <alignment horizontal="center" vertical="center"/>
    </xf>
    <xf numFmtId="0" fontId="76" fillId="2" borderId="0" xfId="0" applyFont="1" applyFill="1" applyAlignment="1">
      <alignment horizontal="center" vertical="center"/>
    </xf>
    <xf numFmtId="180" fontId="0" fillId="3" borderId="0" xfId="0" applyNumberFormat="1" applyFill="1" applyAlignment="1">
      <alignment horizontal="center" vertical="center"/>
    </xf>
    <xf numFmtId="180" fontId="49" fillId="3" borderId="0" xfId="0" applyNumberFormat="1" applyFont="1" applyFill="1" applyAlignment="1">
      <alignment horizontal="center" vertical="center"/>
    </xf>
    <xf numFmtId="173" fontId="77" fillId="3" borderId="0" xfId="0" applyNumberFormat="1" applyFont="1" applyFill="1" applyAlignment="1">
      <alignment vertical="center"/>
    </xf>
    <xf numFmtId="186" fontId="65" fillId="3" borderId="0" xfId="0" applyNumberFormat="1" applyFont="1" applyFill="1" applyAlignment="1">
      <alignment horizontal="center" vertical="center"/>
    </xf>
    <xf numFmtId="185" fontId="78" fillId="3" borderId="0" xfId="0" applyNumberFormat="1" applyFont="1" applyFill="1" applyAlignment="1">
      <alignment horizontal="center" vertical="center"/>
    </xf>
    <xf numFmtId="186" fontId="16" fillId="3" borderId="0" xfId="0" applyNumberFormat="1" applyFont="1" applyFill="1" applyAlignment="1">
      <alignment horizontal="center" vertical="center"/>
    </xf>
    <xf numFmtId="0" fontId="0" fillId="12" borderId="0" xfId="0" applyFill="1" applyAlignment="1">
      <alignment vertical="center"/>
    </xf>
    <xf numFmtId="0" fontId="79" fillId="2" borderId="0" xfId="0" applyFont="1" applyFill="1" applyAlignment="1">
      <alignment vertical="center"/>
    </xf>
    <xf numFmtId="0" fontId="0" fillId="12" borderId="0" xfId="0" applyFill="1"/>
    <xf numFmtId="0" fontId="38" fillId="12" borderId="0" xfId="0" applyFont="1" applyFill="1" applyAlignment="1">
      <alignment horizontal="left" vertical="center"/>
    </xf>
    <xf numFmtId="172" fontId="16" fillId="13" borderId="2" xfId="0" applyNumberFormat="1" applyFont="1" applyFill="1" applyBorder="1" applyAlignment="1">
      <alignment vertical="center"/>
    </xf>
    <xf numFmtId="187" fontId="16" fillId="2" borderId="0" xfId="0" applyNumberFormat="1" applyFont="1" applyFill="1" applyAlignment="1">
      <alignment horizontal="center" vertical="center"/>
    </xf>
    <xf numFmtId="0" fontId="3" fillId="2" borderId="0" xfId="0" applyFont="1" applyFill="1"/>
    <xf numFmtId="0" fontId="80" fillId="2" borderId="0" xfId="0" applyFont="1" applyFill="1" applyAlignment="1">
      <alignment horizontal="center" vertical="center"/>
    </xf>
    <xf numFmtId="0" fontId="0" fillId="0" borderId="0" xfId="0" applyAlignment="1">
      <alignment vertical="center"/>
    </xf>
    <xf numFmtId="171" fontId="0" fillId="0" borderId="0" xfId="0" applyNumberFormat="1"/>
    <xf numFmtId="0" fontId="16" fillId="0" borderId="2" xfId="0" applyFont="1" applyBorder="1"/>
    <xf numFmtId="171" fontId="16" fillId="0" borderId="2" xfId="0" applyNumberFormat="1" applyFont="1" applyBorder="1"/>
    <xf numFmtId="172" fontId="16" fillId="0" borderId="2" xfId="0" applyNumberFormat="1" applyFont="1" applyBorder="1"/>
    <xf numFmtId="174" fontId="16" fillId="0" borderId="2" xfId="0" applyNumberFormat="1" applyFont="1" applyBorder="1"/>
    <xf numFmtId="177" fontId="16" fillId="0" borderId="2" xfId="0" applyNumberFormat="1" applyFont="1" applyBorder="1"/>
    <xf numFmtId="175" fontId="16" fillId="0" borderId="2" xfId="0" applyNumberFormat="1" applyFont="1" applyBorder="1"/>
    <xf numFmtId="181" fontId="16" fillId="0" borderId="2" xfId="0" applyNumberFormat="1" applyFont="1" applyBorder="1"/>
    <xf numFmtId="182" fontId="16" fillId="0" borderId="2" xfId="0" applyNumberFormat="1" applyFont="1" applyBorder="1"/>
    <xf numFmtId="179" fontId="3" fillId="0" borderId="0" xfId="0" applyNumberFormat="1" applyFont="1" applyAlignment="1">
      <alignment vertical="center"/>
    </xf>
    <xf numFmtId="180" fontId="3" fillId="0" borderId="0" xfId="0" applyNumberFormat="1" applyFont="1" applyAlignment="1">
      <alignment vertical="center"/>
    </xf>
    <xf numFmtId="0" fontId="47" fillId="0" borderId="0" xfId="0" applyFont="1" applyAlignment="1">
      <alignment horizontal="left" vertical="top"/>
    </xf>
    <xf numFmtId="0" fontId="32" fillId="0" borderId="0" xfId="0" applyFont="1" applyAlignment="1">
      <alignment horizontal="left" vertical="top" wrapText="1"/>
    </xf>
    <xf numFmtId="0" fontId="3" fillId="0" borderId="2" xfId="0" applyFont="1" applyBorder="1"/>
    <xf numFmtId="0" fontId="4" fillId="9" borderId="2" xfId="0" applyFont="1" applyFill="1" applyBorder="1"/>
    <xf numFmtId="179" fontId="7" fillId="0" borderId="2" xfId="0" applyNumberFormat="1" applyFont="1" applyBorder="1" applyAlignment="1">
      <alignment vertical="center"/>
    </xf>
    <xf numFmtId="179" fontId="3" fillId="0" borderId="2" xfId="0" applyNumberFormat="1" applyFont="1" applyBorder="1" applyAlignment="1">
      <alignment vertical="center"/>
    </xf>
    <xf numFmtId="175" fontId="3" fillId="0" borderId="2" xfId="0" applyNumberFormat="1" applyFont="1" applyBorder="1" applyAlignment="1">
      <alignment vertical="center"/>
    </xf>
    <xf numFmtId="185" fontId="5" fillId="5" borderId="2" xfId="0" applyNumberFormat="1" applyFont="1" applyFill="1" applyBorder="1" applyAlignment="1">
      <alignment vertical="center"/>
    </xf>
    <xf numFmtId="0" fontId="1" fillId="0" borderId="2" xfId="0" applyFont="1" applyBorder="1" applyAlignment="1">
      <alignment horizontal="center" vertical="center"/>
    </xf>
    <xf numFmtId="190" fontId="4" fillId="0" borderId="2" xfId="0" applyNumberFormat="1" applyFont="1" applyBorder="1" applyAlignment="1">
      <alignment horizontal="center" vertical="center"/>
    </xf>
    <xf numFmtId="191" fontId="7" fillId="0" borderId="2" xfId="0" applyNumberFormat="1" applyFont="1" applyBorder="1" applyAlignment="1">
      <alignment vertical="center"/>
    </xf>
    <xf numFmtId="0" fontId="7" fillId="0" borderId="2" xfId="0" applyFont="1" applyBorder="1" applyAlignment="1">
      <alignment vertical="center"/>
    </xf>
    <xf numFmtId="0" fontId="7" fillId="19" borderId="2" xfId="0" applyFont="1" applyFill="1" applyBorder="1"/>
    <xf numFmtId="0" fontId="52" fillId="19" borderId="2" xfId="0" applyFont="1" applyFill="1" applyBorder="1"/>
    <xf numFmtId="0" fontId="4" fillId="20" borderId="3" xfId="0" applyFont="1" applyFill="1" applyBorder="1" applyAlignment="1">
      <alignment vertical="center"/>
    </xf>
    <xf numFmtId="0" fontId="3" fillId="5" borderId="2" xfId="0" applyFont="1" applyFill="1" applyBorder="1" applyAlignment="1">
      <alignment vertical="center"/>
    </xf>
    <xf numFmtId="0" fontId="7" fillId="19" borderId="3" xfId="0" applyFont="1" applyFill="1" applyBorder="1" applyAlignment="1">
      <alignment vertical="center"/>
    </xf>
    <xf numFmtId="0" fontId="85" fillId="0" borderId="2" xfId="0" applyFont="1" applyBorder="1" applyAlignment="1">
      <alignment horizontal="center" vertical="center"/>
    </xf>
    <xf numFmtId="0" fontId="85" fillId="0" borderId="0" xfId="0" applyFont="1" applyAlignment="1">
      <alignment horizontal="center"/>
    </xf>
    <xf numFmtId="180" fontId="7" fillId="0" borderId="2" xfId="0" applyNumberFormat="1" applyFont="1" applyBorder="1" applyAlignment="1">
      <alignment vertical="center"/>
    </xf>
    <xf numFmtId="0" fontId="56" fillId="19" borderId="2" xfId="0" applyFont="1" applyFill="1" applyBorder="1" applyAlignment="1">
      <alignment horizontal="center" vertical="center"/>
    </xf>
    <xf numFmtId="186" fontId="7" fillId="0" borderId="2" xfId="0" applyNumberFormat="1" applyFont="1" applyBorder="1" applyAlignment="1">
      <alignment vertical="center"/>
    </xf>
    <xf numFmtId="180" fontId="3" fillId="0" borderId="0" xfId="0" applyNumberFormat="1" applyFont="1"/>
    <xf numFmtId="0" fontId="66" fillId="19" borderId="3" xfId="0" applyFont="1" applyFill="1" applyBorder="1" applyAlignment="1">
      <alignment vertical="center"/>
    </xf>
    <xf numFmtId="0" fontId="4" fillId="20" borderId="2" xfId="0" applyFont="1" applyFill="1" applyBorder="1" applyAlignment="1">
      <alignment vertical="center"/>
    </xf>
    <xf numFmtId="0" fontId="3" fillId="5" borderId="3" xfId="0" applyFont="1" applyFill="1" applyBorder="1" applyAlignment="1">
      <alignment vertical="center"/>
    </xf>
    <xf numFmtId="0" fontId="66" fillId="19" borderId="2" xfId="0" applyFont="1" applyFill="1" applyBorder="1" applyAlignment="1">
      <alignment vertical="center"/>
    </xf>
    <xf numFmtId="0" fontId="52" fillId="19" borderId="2" xfId="0" applyFont="1" applyFill="1" applyBorder="1" applyAlignment="1">
      <alignment vertical="center"/>
    </xf>
    <xf numFmtId="198" fontId="52" fillId="0" borderId="2" xfId="0" applyNumberFormat="1" applyFont="1" applyBorder="1" applyAlignment="1">
      <alignment vertical="center"/>
    </xf>
    <xf numFmtId="0" fontId="7" fillId="19" borderId="2" xfId="0" applyFont="1" applyFill="1" applyBorder="1" applyAlignment="1">
      <alignment vertical="center"/>
    </xf>
    <xf numFmtId="185" fontId="6" fillId="5" borderId="2" xfId="0" applyNumberFormat="1" applyFont="1" applyFill="1" applyBorder="1" applyAlignment="1">
      <alignment vertical="center"/>
    </xf>
    <xf numFmtId="0" fontId="10" fillId="5" borderId="2" xfId="0" applyFont="1" applyFill="1" applyBorder="1" applyAlignment="1">
      <alignment horizontal="center" vertical="center"/>
    </xf>
    <xf numFmtId="0" fontId="3" fillId="0" borderId="2" xfId="0" applyFont="1" applyBorder="1" applyAlignment="1">
      <alignment vertical="center"/>
    </xf>
    <xf numFmtId="0" fontId="2" fillId="20" borderId="9" xfId="0" applyFont="1" applyFill="1" applyBorder="1" applyAlignment="1">
      <alignment horizontal="center" vertical="center"/>
    </xf>
    <xf numFmtId="0" fontId="12" fillId="20" borderId="8" xfId="0" applyFont="1" applyFill="1" applyBorder="1" applyAlignment="1">
      <alignment horizontal="center" vertical="center"/>
    </xf>
    <xf numFmtId="0" fontId="13" fillId="19" borderId="2" xfId="0" applyFont="1" applyFill="1" applyBorder="1" applyAlignment="1">
      <alignment vertical="center"/>
    </xf>
    <xf numFmtId="185" fontId="13" fillId="18" borderId="2" xfId="0" applyNumberFormat="1" applyFont="1" applyFill="1" applyBorder="1" applyAlignment="1">
      <alignment vertical="center"/>
    </xf>
    <xf numFmtId="180" fontId="13" fillId="0" borderId="2" xfId="0" applyNumberFormat="1" applyFont="1" applyBorder="1" applyAlignment="1">
      <alignment vertical="center"/>
    </xf>
    <xf numFmtId="199" fontId="13" fillId="18" borderId="2" xfId="0" applyNumberFormat="1" applyFont="1" applyFill="1" applyBorder="1" applyAlignment="1">
      <alignment horizontal="center" vertical="center"/>
    </xf>
    <xf numFmtId="0" fontId="11" fillId="0" borderId="2" xfId="0" applyFont="1" applyBorder="1" applyAlignment="1">
      <alignment horizontal="center" vertical="center"/>
    </xf>
    <xf numFmtId="1" fontId="11" fillId="0" borderId="2" xfId="0" applyNumberFormat="1" applyFont="1" applyBorder="1" applyAlignment="1">
      <alignment horizontal="center" vertical="center"/>
    </xf>
    <xf numFmtId="164" fontId="11" fillId="18" borderId="2" xfId="0" applyNumberFormat="1" applyFont="1" applyFill="1" applyBorder="1" applyAlignment="1">
      <alignment horizontal="center" vertical="center"/>
    </xf>
    <xf numFmtId="180" fontId="11" fillId="0" borderId="8" xfId="0" applyNumberFormat="1" applyFont="1" applyBorder="1" applyAlignment="1">
      <alignment horizontal="center" vertical="center"/>
    </xf>
    <xf numFmtId="180" fontId="11" fillId="0" borderId="2" xfId="0" applyNumberFormat="1" applyFont="1" applyBorder="1" applyAlignment="1">
      <alignment horizontal="center" vertical="center"/>
    </xf>
    <xf numFmtId="185" fontId="13" fillId="0" borderId="2" xfId="0" applyNumberFormat="1" applyFont="1" applyBorder="1" applyAlignment="1">
      <alignment vertical="center"/>
    </xf>
    <xf numFmtId="180" fontId="6" fillId="5" borderId="2" xfId="0" applyNumberFormat="1" applyFont="1" applyFill="1" applyBorder="1" applyAlignment="1">
      <alignment vertical="center"/>
    </xf>
    <xf numFmtId="180" fontId="6" fillId="5" borderId="2" xfId="0" applyNumberFormat="1" applyFont="1" applyFill="1" applyBorder="1" applyAlignment="1">
      <alignment horizontal="center" vertical="center"/>
    </xf>
    <xf numFmtId="0" fontId="7" fillId="19" borderId="2" xfId="0" applyFont="1" applyFill="1" applyBorder="1" applyAlignment="1">
      <alignment horizontal="left" vertical="center"/>
    </xf>
    <xf numFmtId="185" fontId="7" fillId="18" borderId="2" xfId="0" applyNumberFormat="1" applyFont="1" applyFill="1" applyBorder="1" applyAlignment="1">
      <alignment vertical="center"/>
    </xf>
    <xf numFmtId="185" fontId="4" fillId="5" borderId="8" xfId="0" applyNumberFormat="1" applyFont="1" applyFill="1" applyBorder="1" applyAlignment="1">
      <alignment vertical="center"/>
    </xf>
    <xf numFmtId="185" fontId="4" fillId="5" borderId="2" xfId="0" applyNumberFormat="1" applyFont="1" applyFill="1" applyBorder="1" applyAlignment="1">
      <alignment vertical="center"/>
    </xf>
    <xf numFmtId="0" fontId="52" fillId="19" borderId="2" xfId="0" applyFont="1" applyFill="1" applyBorder="1" applyAlignment="1">
      <alignment horizontal="left" vertical="center"/>
    </xf>
    <xf numFmtId="185" fontId="52" fillId="18" borderId="2" xfId="0" applyNumberFormat="1" applyFont="1" applyFill="1" applyBorder="1" applyAlignment="1">
      <alignment vertical="center"/>
    </xf>
    <xf numFmtId="0" fontId="53" fillId="18" borderId="2" xfId="0" applyFont="1" applyFill="1" applyBorder="1" applyAlignment="1">
      <alignment horizontal="center" vertical="center"/>
    </xf>
    <xf numFmtId="0" fontId="50" fillId="0" borderId="0" xfId="0" applyFont="1" applyAlignment="1">
      <alignment horizontal="left" vertical="center"/>
    </xf>
    <xf numFmtId="185" fontId="55" fillId="5" borderId="2" xfId="0" applyNumberFormat="1" applyFont="1" applyFill="1" applyBorder="1" applyAlignment="1">
      <alignment vertical="center"/>
    </xf>
    <xf numFmtId="0" fontId="52" fillId="19" borderId="2" xfId="0" applyFont="1" applyFill="1" applyBorder="1" applyAlignment="1">
      <alignment horizontal="left"/>
    </xf>
    <xf numFmtId="0" fontId="52" fillId="18" borderId="2" xfId="0" applyFont="1" applyFill="1" applyBorder="1"/>
    <xf numFmtId="189" fontId="4" fillId="18" borderId="2" xfId="0" applyNumberFormat="1" applyFont="1" applyFill="1" applyBorder="1" applyAlignment="1">
      <alignment horizontal="center" vertical="center"/>
    </xf>
    <xf numFmtId="0" fontId="56" fillId="18" borderId="2" xfId="0" applyFont="1" applyFill="1" applyBorder="1" applyAlignment="1">
      <alignment horizontal="center" vertical="center"/>
    </xf>
    <xf numFmtId="175" fontId="52" fillId="18" borderId="2" xfId="0" applyNumberFormat="1" applyFont="1" applyFill="1" applyBorder="1" applyAlignment="1">
      <alignment vertical="center"/>
    </xf>
    <xf numFmtId="179" fontId="52" fillId="18" borderId="8" xfId="0" applyNumberFormat="1" applyFont="1" applyFill="1" applyBorder="1" applyAlignment="1">
      <alignment vertical="center"/>
    </xf>
    <xf numFmtId="174" fontId="52" fillId="18" borderId="2" xfId="0" applyNumberFormat="1" applyFont="1" applyFill="1" applyBorder="1" applyAlignment="1">
      <alignment vertical="center"/>
    </xf>
    <xf numFmtId="192" fontId="7" fillId="18" borderId="2" xfId="0" applyNumberFormat="1" applyFont="1" applyFill="1" applyBorder="1" applyAlignment="1">
      <alignment vertical="center"/>
    </xf>
    <xf numFmtId="0" fontId="7" fillId="18" borderId="2" xfId="0" applyFont="1" applyFill="1" applyBorder="1" applyAlignment="1">
      <alignment vertical="center"/>
    </xf>
    <xf numFmtId="180" fontId="7" fillId="18" borderId="2" xfId="0" applyNumberFormat="1" applyFont="1" applyFill="1" applyBorder="1" applyAlignment="1">
      <alignment vertical="center"/>
    </xf>
    <xf numFmtId="193" fontId="7" fillId="18" borderId="2" xfId="0" applyNumberFormat="1" applyFont="1" applyFill="1" applyBorder="1" applyAlignment="1">
      <alignment vertical="center"/>
    </xf>
    <xf numFmtId="194" fontId="7" fillId="18" borderId="2" xfId="0" applyNumberFormat="1" applyFont="1" applyFill="1" applyBorder="1" applyAlignment="1">
      <alignment vertical="center"/>
    </xf>
    <xf numFmtId="195" fontId="7" fillId="18" borderId="2" xfId="0" applyNumberFormat="1" applyFont="1" applyFill="1" applyBorder="1" applyAlignment="1">
      <alignment vertical="center"/>
    </xf>
    <xf numFmtId="196" fontId="7" fillId="18" borderId="2" xfId="0" applyNumberFormat="1" applyFont="1" applyFill="1" applyBorder="1" applyAlignment="1">
      <alignment vertical="center"/>
    </xf>
    <xf numFmtId="197" fontId="7" fillId="18" borderId="2" xfId="0" applyNumberFormat="1" applyFont="1" applyFill="1" applyBorder="1" applyAlignment="1">
      <alignment vertical="center"/>
    </xf>
    <xf numFmtId="193" fontId="52" fillId="18" borderId="2" xfId="0" applyNumberFormat="1" applyFont="1" applyFill="1" applyBorder="1" applyAlignment="1">
      <alignment vertical="center"/>
    </xf>
    <xf numFmtId="197" fontId="52" fillId="18" borderId="2" xfId="0" applyNumberFormat="1" applyFont="1" applyFill="1" applyBorder="1" applyAlignment="1">
      <alignment vertical="center"/>
    </xf>
    <xf numFmtId="198" fontId="52" fillId="18" borderId="2" xfId="0" applyNumberFormat="1" applyFont="1" applyFill="1" applyBorder="1" applyAlignment="1">
      <alignment vertical="center"/>
    </xf>
    <xf numFmtId="0" fontId="3" fillId="18" borderId="0" xfId="0" applyFont="1" applyFill="1"/>
    <xf numFmtId="2" fontId="7" fillId="18" borderId="2" xfId="0" applyNumberFormat="1" applyFont="1" applyFill="1" applyBorder="1" applyAlignment="1">
      <alignment vertical="center"/>
    </xf>
    <xf numFmtId="180" fontId="52" fillId="0" borderId="2" xfId="0" applyNumberFormat="1" applyFont="1" applyBorder="1" applyAlignment="1">
      <alignment vertical="center"/>
    </xf>
    <xf numFmtId="0" fontId="3" fillId="18" borderId="2" xfId="0" applyFont="1" applyFill="1" applyBorder="1" applyAlignment="1">
      <alignment vertical="center"/>
    </xf>
    <xf numFmtId="0" fontId="29" fillId="18" borderId="0" xfId="0" applyFont="1" applyFill="1" applyAlignment="1">
      <alignment horizontal="center"/>
    </xf>
    <xf numFmtId="0" fontId="21" fillId="20" borderId="2" xfId="0" applyFont="1" applyFill="1" applyBorder="1" applyAlignment="1">
      <alignment horizontal="left" vertical="center"/>
    </xf>
    <xf numFmtId="0" fontId="28" fillId="18" borderId="2" xfId="0" applyFont="1" applyFill="1" applyBorder="1" applyAlignment="1">
      <alignment horizontal="center" vertical="center"/>
    </xf>
    <xf numFmtId="0" fontId="0" fillId="0" borderId="2" xfId="0" applyBorder="1" applyAlignment="1">
      <alignment vertical="center"/>
    </xf>
    <xf numFmtId="0" fontId="25" fillId="19" borderId="2" xfId="0" applyFont="1" applyFill="1" applyBorder="1" applyAlignment="1">
      <alignment horizontal="left" vertical="center"/>
    </xf>
    <xf numFmtId="3" fontId="2" fillId="0" borderId="2" xfId="0" applyNumberFormat="1" applyFont="1" applyBorder="1" applyAlignment="1">
      <alignment vertical="center"/>
    </xf>
    <xf numFmtId="4" fontId="2" fillId="0" borderId="2" xfId="0" applyNumberFormat="1" applyFont="1" applyBorder="1" applyAlignment="1">
      <alignment vertical="center"/>
    </xf>
    <xf numFmtId="167" fontId="2" fillId="0" borderId="2" xfId="0" applyNumberFormat="1" applyFont="1" applyBorder="1" applyAlignment="1">
      <alignment vertical="center"/>
    </xf>
    <xf numFmtId="179" fontId="2" fillId="0" borderId="2" xfId="0" applyNumberFormat="1" applyFont="1" applyBorder="1" applyAlignment="1">
      <alignment vertical="center"/>
    </xf>
    <xf numFmtId="175" fontId="2" fillId="0" borderId="2" xfId="0" applyNumberFormat="1" applyFont="1" applyBorder="1" applyAlignment="1">
      <alignment vertical="center"/>
    </xf>
    <xf numFmtId="200" fontId="2" fillId="0" borderId="2" xfId="0" applyNumberFormat="1" applyFont="1" applyBorder="1" applyAlignment="1">
      <alignment vertical="center"/>
    </xf>
    <xf numFmtId="0" fontId="11" fillId="0" borderId="2" xfId="0" applyFont="1" applyBorder="1" applyAlignment="1">
      <alignment vertical="center"/>
    </xf>
    <xf numFmtId="0" fontId="25" fillId="0" borderId="0" xfId="0" applyFont="1" applyAlignment="1">
      <alignment horizontal="left" vertical="center"/>
    </xf>
    <xf numFmtId="165" fontId="12" fillId="0" borderId="2" xfId="0" applyNumberFormat="1" applyFont="1" applyBorder="1"/>
    <xf numFmtId="175" fontId="12" fillId="0" borderId="2" xfId="0" applyNumberFormat="1" applyFont="1" applyBorder="1" applyAlignment="1">
      <alignment vertical="center"/>
    </xf>
    <xf numFmtId="165" fontId="2" fillId="0" borderId="2" xfId="0" applyNumberFormat="1" applyFont="1" applyBorder="1" applyAlignment="1">
      <alignment vertical="center"/>
    </xf>
    <xf numFmtId="0" fontId="21" fillId="20" borderId="2" xfId="0" applyFont="1" applyFill="1" applyBorder="1" applyAlignment="1">
      <alignment vertical="center"/>
    </xf>
    <xf numFmtId="185" fontId="21" fillId="5" borderId="2" xfId="0" applyNumberFormat="1" applyFont="1" applyFill="1" applyBorder="1" applyAlignment="1">
      <alignment vertical="center"/>
    </xf>
    <xf numFmtId="10" fontId="21" fillId="5" borderId="2" xfId="0" applyNumberFormat="1" applyFont="1" applyFill="1" applyBorder="1" applyAlignment="1">
      <alignment vertical="center"/>
    </xf>
    <xf numFmtId="0" fontId="3" fillId="19" borderId="2" xfId="0" applyFont="1" applyFill="1" applyBorder="1" applyAlignment="1">
      <alignment vertical="center"/>
    </xf>
    <xf numFmtId="185" fontId="3" fillId="0" borderId="2" xfId="0" applyNumberFormat="1" applyFont="1" applyBorder="1" applyAlignment="1">
      <alignment vertical="center"/>
    </xf>
    <xf numFmtId="10" fontId="3" fillId="0" borderId="2" xfId="2" applyNumberFormat="1" applyFont="1" applyBorder="1" applyAlignment="1">
      <alignment vertical="center"/>
    </xf>
    <xf numFmtId="0" fontId="3" fillId="0" borderId="0" xfId="0" applyFont="1" applyAlignment="1">
      <alignment vertical="center"/>
    </xf>
    <xf numFmtId="0" fontId="21" fillId="9" borderId="2" xfId="0" applyFont="1" applyFill="1" applyBorder="1" applyAlignment="1">
      <alignment vertical="center"/>
    </xf>
    <xf numFmtId="1" fontId="3" fillId="0" borderId="0" xfId="0" applyNumberFormat="1" applyFont="1" applyAlignment="1">
      <alignment vertical="center"/>
    </xf>
    <xf numFmtId="0" fontId="22" fillId="5" borderId="2" xfId="0" applyFont="1" applyFill="1" applyBorder="1" applyAlignment="1">
      <alignment vertical="center"/>
    </xf>
    <xf numFmtId="185" fontId="22" fillId="5" borderId="2" xfId="0" applyNumberFormat="1" applyFont="1" applyFill="1" applyBorder="1" applyAlignment="1">
      <alignment vertical="center"/>
    </xf>
    <xf numFmtId="10" fontId="22" fillId="5" borderId="2" xfId="2" applyNumberFormat="1" applyFont="1" applyFill="1" applyBorder="1" applyAlignment="1">
      <alignment vertical="center"/>
    </xf>
    <xf numFmtId="0" fontId="21" fillId="0" borderId="0" xfId="0" applyFont="1" applyAlignment="1">
      <alignment vertical="center"/>
    </xf>
    <xf numFmtId="0" fontId="12" fillId="0" borderId="2" xfId="0" applyFont="1" applyBorder="1" applyAlignment="1">
      <alignment horizontal="center" vertical="center"/>
    </xf>
    <xf numFmtId="175" fontId="12" fillId="0" borderId="2" xfId="0" applyNumberFormat="1" applyFont="1" applyBorder="1" applyAlignment="1">
      <alignment horizontal="center" vertical="center"/>
    </xf>
    <xf numFmtId="0" fontId="24" fillId="20" borderId="2" xfId="0" applyFont="1" applyFill="1" applyBorder="1" applyAlignment="1">
      <alignment horizontal="center" vertical="center"/>
    </xf>
    <xf numFmtId="1" fontId="3" fillId="0" borderId="2" xfId="0" applyNumberFormat="1" applyFont="1" applyBorder="1" applyAlignment="1">
      <alignment horizontal="center" vertical="center"/>
    </xf>
    <xf numFmtId="2" fontId="21" fillId="5" borderId="2" xfId="0" applyNumberFormat="1" applyFont="1" applyFill="1" applyBorder="1" applyAlignment="1">
      <alignment horizontal="center" vertical="center"/>
    </xf>
    <xf numFmtId="1" fontId="0" fillId="0" borderId="0" xfId="0" applyNumberForma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2" fontId="33" fillId="5" borderId="2" xfId="0" applyNumberFormat="1" applyFont="1" applyFill="1" applyBorder="1" applyAlignment="1">
      <alignment vertical="center"/>
    </xf>
    <xf numFmtId="1" fontId="33" fillId="5" borderId="2" xfId="0" applyNumberFormat="1" applyFont="1" applyFill="1" applyBorder="1" applyAlignment="1">
      <alignment vertical="center"/>
    </xf>
    <xf numFmtId="2" fontId="3" fillId="18" borderId="0" xfId="0" applyNumberFormat="1" applyFont="1" applyFill="1"/>
    <xf numFmtId="0" fontId="24" fillId="5" borderId="2" xfId="0" applyFont="1" applyFill="1" applyBorder="1"/>
    <xf numFmtId="1" fontId="24" fillId="0" borderId="2" xfId="0" applyNumberFormat="1" applyFont="1" applyBorder="1"/>
    <xf numFmtId="0" fontId="55" fillId="9" borderId="9" xfId="0" applyFont="1" applyFill="1" applyBorder="1" applyAlignment="1">
      <alignment vertical="center"/>
    </xf>
    <xf numFmtId="0" fontId="51" fillId="0" borderId="2" xfId="0" applyFont="1" applyBorder="1"/>
    <xf numFmtId="164" fontId="52" fillId="0" borderId="2" xfId="0" applyNumberFormat="1" applyFont="1" applyBorder="1"/>
    <xf numFmtId="0" fontId="55" fillId="0" borderId="2" xfId="0" applyFont="1" applyBorder="1"/>
    <xf numFmtId="0" fontId="55" fillId="18" borderId="2" xfId="0" applyFont="1" applyFill="1" applyBorder="1" applyAlignment="1">
      <alignment horizontal="center"/>
    </xf>
    <xf numFmtId="0" fontId="51" fillId="5" borderId="2" xfId="0" applyFont="1" applyFill="1" applyBorder="1" applyAlignment="1">
      <alignment horizontal="center"/>
    </xf>
    <xf numFmtId="0" fontId="54" fillId="5" borderId="2" xfId="0" applyFont="1" applyFill="1" applyBorder="1"/>
    <xf numFmtId="0" fontId="55" fillId="5" borderId="2" xfId="0" applyFont="1" applyFill="1" applyBorder="1" applyAlignment="1">
      <alignment horizontal="center"/>
    </xf>
    <xf numFmtId="185" fontId="52" fillId="0" borderId="2" xfId="0" applyNumberFormat="1" applyFont="1" applyBorder="1" applyAlignment="1">
      <alignment vertical="center"/>
    </xf>
    <xf numFmtId="185" fontId="55" fillId="5" borderId="2" xfId="0" applyNumberFormat="1" applyFont="1" applyFill="1" applyBorder="1" applyAlignment="1">
      <alignment horizontal="center"/>
    </xf>
    <xf numFmtId="2" fontId="56" fillId="0" borderId="2" xfId="0" applyNumberFormat="1" applyFont="1" applyBorder="1" applyAlignment="1">
      <alignment horizontal="center"/>
    </xf>
    <xf numFmtId="0" fontId="51" fillId="0" borderId="2" xfId="0" applyFont="1" applyBorder="1" applyAlignment="1">
      <alignment horizontal="left"/>
    </xf>
    <xf numFmtId="0" fontId="82" fillId="5" borderId="10" xfId="0" applyFont="1" applyFill="1" applyBorder="1"/>
    <xf numFmtId="164" fontId="61" fillId="5" borderId="11" xfId="0" applyNumberFormat="1" applyFont="1" applyFill="1" applyBorder="1"/>
    <xf numFmtId="164" fontId="61" fillId="5" borderId="12" xfId="0" applyNumberFormat="1" applyFont="1" applyFill="1" applyBorder="1"/>
    <xf numFmtId="164" fontId="3" fillId="18" borderId="2" xfId="0" applyNumberFormat="1" applyFont="1" applyFill="1" applyBorder="1"/>
    <xf numFmtId="164" fontId="3" fillId="0" borderId="2" xfId="0" applyNumberFormat="1" applyFont="1" applyBorder="1"/>
    <xf numFmtId="0" fontId="50" fillId="0" borderId="2" xfId="0" applyFont="1" applyBorder="1"/>
    <xf numFmtId="0" fontId="3" fillId="18" borderId="2" xfId="0" applyFont="1" applyFill="1" applyBorder="1"/>
    <xf numFmtId="0" fontId="24" fillId="9" borderId="14" xfId="0" applyFont="1" applyFill="1" applyBorder="1" applyAlignment="1">
      <alignment horizontal="center"/>
    </xf>
    <xf numFmtId="0" fontId="3" fillId="9" borderId="14" xfId="0" applyFont="1" applyFill="1" applyBorder="1"/>
    <xf numFmtId="0" fontId="24" fillId="9" borderId="14" xfId="0" applyFont="1" applyFill="1" applyBorder="1" applyAlignment="1">
      <alignment horizontal="left"/>
    </xf>
    <xf numFmtId="0" fontId="24" fillId="9" borderId="15" xfId="0" applyFont="1" applyFill="1" applyBorder="1" applyAlignment="1">
      <alignment horizontal="center"/>
    </xf>
    <xf numFmtId="0" fontId="24" fillId="0" borderId="17" xfId="0" applyFont="1" applyBorder="1"/>
    <xf numFmtId="0" fontId="3" fillId="0" borderId="16" xfId="0" applyFont="1" applyBorder="1"/>
    <xf numFmtId="0" fontId="60" fillId="0" borderId="18" xfId="0" applyFont="1" applyBorder="1"/>
    <xf numFmtId="0" fontId="50" fillId="0" borderId="19" xfId="0" applyFont="1" applyBorder="1"/>
    <xf numFmtId="164" fontId="50" fillId="0" borderId="19" xfId="0" applyNumberFormat="1" applyFont="1" applyBorder="1"/>
    <xf numFmtId="0" fontId="3" fillId="0" borderId="19" xfId="0" applyFont="1" applyBorder="1"/>
    <xf numFmtId="0" fontId="3" fillId="0" borderId="20" xfId="0" applyFont="1" applyBorder="1"/>
    <xf numFmtId="0" fontId="24" fillId="9" borderId="19" xfId="0" applyFont="1" applyFill="1" applyBorder="1" applyAlignment="1">
      <alignment horizontal="center"/>
    </xf>
    <xf numFmtId="0" fontId="24" fillId="9" borderId="20" xfId="0" applyFont="1" applyFill="1" applyBorder="1" applyAlignment="1">
      <alignment horizontal="center"/>
    </xf>
    <xf numFmtId="0" fontId="2" fillId="2" borderId="2" xfId="0" applyFont="1" applyFill="1" applyBorder="1" applyAlignment="1">
      <alignment horizontal="right" vertical="center"/>
    </xf>
    <xf numFmtId="185" fontId="13" fillId="2" borderId="2" xfId="0" applyNumberFormat="1" applyFont="1" applyFill="1" applyBorder="1" applyAlignment="1">
      <alignment vertical="center"/>
    </xf>
    <xf numFmtId="2" fontId="3" fillId="18" borderId="2" xfId="0" applyNumberFormat="1" applyFont="1" applyFill="1" applyBorder="1" applyAlignment="1">
      <alignment horizontal="center" vertical="center"/>
    </xf>
    <xf numFmtId="2" fontId="3" fillId="18" borderId="3" xfId="0" applyNumberFormat="1" applyFont="1" applyFill="1" applyBorder="1" applyAlignment="1">
      <alignment horizontal="center" vertical="center"/>
    </xf>
    <xf numFmtId="164" fontId="3" fillId="2" borderId="2" xfId="0" applyNumberFormat="1" applyFont="1" applyFill="1" applyBorder="1" applyAlignment="1">
      <alignment horizontal="center"/>
    </xf>
    <xf numFmtId="0" fontId="24" fillId="0" borderId="21" xfId="0" applyFont="1" applyBorder="1"/>
    <xf numFmtId="2" fontId="3" fillId="18" borderId="14" xfId="0" applyNumberFormat="1" applyFont="1" applyFill="1" applyBorder="1"/>
    <xf numFmtId="164" fontId="3" fillId="18" borderId="14" xfId="0" applyNumberFormat="1" applyFont="1" applyFill="1" applyBorder="1"/>
    <xf numFmtId="164" fontId="3" fillId="0" borderId="14" xfId="0" applyNumberFormat="1" applyFont="1" applyBorder="1"/>
    <xf numFmtId="0" fontId="3" fillId="0" borderId="14" xfId="0" applyFont="1" applyBorder="1"/>
    <xf numFmtId="0" fontId="50" fillId="0" borderId="14" xfId="0" applyFont="1" applyBorder="1"/>
    <xf numFmtId="164" fontId="3" fillId="18" borderId="14" xfId="0" applyNumberFormat="1" applyFont="1" applyFill="1" applyBorder="1" applyAlignment="1">
      <alignment horizontal="center"/>
    </xf>
    <xf numFmtId="164" fontId="50" fillId="0" borderId="14" xfId="0" applyNumberFormat="1" applyFont="1" applyBorder="1"/>
    <xf numFmtId="1" fontId="50" fillId="0" borderId="14" xfId="0" applyNumberFormat="1" applyFont="1" applyBorder="1"/>
    <xf numFmtId="1" fontId="50" fillId="0" borderId="15" xfId="0" applyNumberFormat="1" applyFont="1" applyBorder="1"/>
    <xf numFmtId="164" fontId="3" fillId="2" borderId="19" xfId="0" applyNumberFormat="1" applyFont="1" applyFill="1" applyBorder="1" applyAlignment="1">
      <alignment horizontal="center"/>
    </xf>
    <xf numFmtId="1" fontId="55" fillId="18" borderId="0" xfId="0" applyNumberFormat="1" applyFont="1" applyFill="1" applyAlignment="1">
      <alignment horizontal="center"/>
    </xf>
    <xf numFmtId="0" fontId="14" fillId="18" borderId="0" xfId="0" applyFont="1" applyFill="1"/>
    <xf numFmtId="2" fontId="60" fillId="18" borderId="0" xfId="0" applyNumberFormat="1" applyFont="1" applyFill="1"/>
    <xf numFmtId="202" fontId="52" fillId="18" borderId="2" xfId="0" applyNumberFormat="1" applyFont="1" applyFill="1" applyBorder="1" applyAlignment="1">
      <alignment vertical="center"/>
    </xf>
    <xf numFmtId="201" fontId="52" fillId="18" borderId="2" xfId="0" applyNumberFormat="1" applyFont="1" applyFill="1" applyBorder="1" applyAlignment="1">
      <alignment vertical="center"/>
    </xf>
    <xf numFmtId="2" fontId="50" fillId="18" borderId="19" xfId="0" applyNumberFormat="1" applyFont="1" applyFill="1" applyBorder="1"/>
    <xf numFmtId="0" fontId="50" fillId="18" borderId="19" xfId="0" applyFont="1" applyFill="1" applyBorder="1"/>
    <xf numFmtId="4" fontId="86" fillId="18" borderId="2" xfId="0" applyNumberFormat="1" applyFont="1" applyFill="1" applyBorder="1" applyAlignment="1">
      <alignment vertical="center"/>
    </xf>
    <xf numFmtId="0" fontId="38" fillId="0" borderId="0" xfId="0" applyFont="1" applyAlignment="1">
      <alignment horizontal="center" vertical="center" wrapText="1"/>
    </xf>
    <xf numFmtId="0" fontId="39" fillId="5" borderId="3"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5" xfId="0" applyFont="1" applyFill="1" applyBorder="1" applyAlignment="1">
      <alignment horizontal="center" vertical="center" wrapText="1"/>
    </xf>
    <xf numFmtId="0" fontId="0" fillId="3" borderId="0" xfId="0" applyFill="1" applyAlignment="1">
      <alignment horizontal="center" vertical="center"/>
    </xf>
    <xf numFmtId="0" fontId="0" fillId="2" borderId="1" xfId="0" applyFill="1" applyBorder="1" applyAlignment="1">
      <alignment horizontal="center" vertical="center"/>
    </xf>
    <xf numFmtId="0" fontId="38" fillId="10" borderId="2" xfId="0" applyFont="1" applyFill="1" applyBorder="1" applyAlignment="1">
      <alignment horizontal="left" vertical="center"/>
    </xf>
    <xf numFmtId="0" fontId="38" fillId="7" borderId="2" xfId="0" applyFont="1" applyFill="1" applyBorder="1" applyAlignment="1">
      <alignment horizontal="left" vertical="center"/>
    </xf>
    <xf numFmtId="0" fontId="0" fillId="12" borderId="0" xfId="0" applyFill="1" applyAlignment="1">
      <alignment horizontal="center" vertical="center"/>
    </xf>
    <xf numFmtId="0" fontId="37" fillId="14" borderId="2" xfId="0" applyFont="1" applyFill="1" applyBorder="1" applyAlignment="1">
      <alignment horizontal="left" vertical="center" wrapText="1"/>
    </xf>
    <xf numFmtId="173" fontId="69" fillId="3" borderId="4" xfId="0" applyNumberFormat="1" applyFont="1" applyFill="1" applyBorder="1" applyAlignment="1" applyProtection="1">
      <alignment horizontal="center" vertical="center"/>
      <protection locked="0"/>
    </xf>
    <xf numFmtId="182" fontId="16" fillId="6" borderId="2" xfId="0" applyNumberFormat="1" applyFont="1" applyFill="1" applyBorder="1" applyAlignment="1" applyProtection="1">
      <alignment horizontal="center" vertical="center"/>
      <protection locked="0"/>
    </xf>
    <xf numFmtId="182" fontId="16" fillId="2" borderId="2" xfId="0" applyNumberFormat="1" applyFont="1" applyFill="1" applyBorder="1" applyAlignment="1">
      <alignment horizontal="center" vertical="center"/>
    </xf>
    <xf numFmtId="0" fontId="0" fillId="2" borderId="0" xfId="0" applyFill="1" applyAlignment="1">
      <alignment horizontal="center" vertical="center"/>
    </xf>
    <xf numFmtId="173" fontId="16" fillId="16" borderId="2" xfId="0" applyNumberFormat="1" applyFont="1" applyFill="1" applyBorder="1" applyAlignment="1" applyProtection="1">
      <alignment horizontal="center" vertical="center"/>
      <protection locked="0"/>
    </xf>
    <xf numFmtId="0" fontId="16" fillId="8" borderId="2" xfId="0" applyFont="1" applyFill="1" applyBorder="1" applyAlignment="1">
      <alignment horizontal="center" vertical="center"/>
    </xf>
    <xf numFmtId="0" fontId="16" fillId="2" borderId="2" xfId="0" applyFont="1" applyFill="1" applyBorder="1" applyAlignment="1">
      <alignment horizontal="left" vertical="center"/>
    </xf>
    <xf numFmtId="175" fontId="16" fillId="6" borderId="2" xfId="0" applyNumberFormat="1" applyFont="1" applyFill="1" applyBorder="1" applyAlignment="1" applyProtection="1">
      <alignment horizontal="center" vertical="center"/>
      <protection locked="0"/>
    </xf>
    <xf numFmtId="0" fontId="16" fillId="6" borderId="2" xfId="1" applyFont="1" applyFill="1" applyBorder="1" applyAlignment="1" applyProtection="1">
      <alignment horizontal="left" vertical="center"/>
      <protection locked="0"/>
    </xf>
    <xf numFmtId="0" fontId="40" fillId="17" borderId="2" xfId="0" applyFont="1" applyFill="1" applyBorder="1" applyAlignment="1">
      <alignment horizontal="center" vertical="center"/>
    </xf>
    <xf numFmtId="0" fontId="41" fillId="17" borderId="2" xfId="0" applyFont="1" applyFill="1" applyBorder="1" applyAlignment="1">
      <alignment horizontal="center" vertical="center"/>
    </xf>
    <xf numFmtId="0" fontId="16" fillId="6" borderId="2" xfId="0" applyFont="1" applyFill="1" applyBorder="1" applyAlignment="1" applyProtection="1">
      <alignment horizontal="center" vertical="center"/>
      <protection locked="0"/>
    </xf>
    <xf numFmtId="178" fontId="16" fillId="6" borderId="3" xfId="0" applyNumberFormat="1" applyFont="1" applyFill="1" applyBorder="1" applyAlignment="1" applyProtection="1">
      <alignment horizontal="center" vertical="center"/>
      <protection locked="0"/>
    </xf>
    <xf numFmtId="178" fontId="16" fillId="6" borderId="4" xfId="0" applyNumberFormat="1" applyFont="1" applyFill="1" applyBorder="1" applyAlignment="1" applyProtection="1">
      <alignment horizontal="center" vertical="center"/>
      <protection locked="0"/>
    </xf>
    <xf numFmtId="178" fontId="16" fillId="6" borderId="5" xfId="0" applyNumberFormat="1" applyFont="1" applyFill="1" applyBorder="1" applyAlignment="1" applyProtection="1">
      <alignment horizontal="center" vertical="center"/>
      <protection locked="0"/>
    </xf>
    <xf numFmtId="177" fontId="16" fillId="2" borderId="2" xfId="0" applyNumberFormat="1" applyFont="1" applyFill="1" applyBorder="1" applyAlignment="1">
      <alignment horizontal="center" vertical="center"/>
    </xf>
    <xf numFmtId="0" fontId="16" fillId="5" borderId="2" xfId="0" applyFont="1" applyFill="1" applyBorder="1" applyAlignment="1">
      <alignment horizontal="left" vertical="center"/>
    </xf>
    <xf numFmtId="0" fontId="16" fillId="11" borderId="2" xfId="0" applyFont="1" applyFill="1" applyBorder="1" applyAlignment="1" applyProtection="1">
      <alignment horizontal="center" vertical="center"/>
      <protection locked="0"/>
    </xf>
    <xf numFmtId="174" fontId="16" fillId="6" borderId="2" xfId="0" applyNumberFormat="1" applyFont="1" applyFill="1" applyBorder="1" applyAlignment="1" applyProtection="1">
      <alignment horizontal="center" vertical="center"/>
      <protection locked="0"/>
    </xf>
    <xf numFmtId="183" fontId="16" fillId="6" borderId="2" xfId="0" applyNumberFormat="1" applyFont="1" applyFill="1" applyBorder="1" applyAlignment="1" applyProtection="1">
      <alignment horizontal="center" vertical="center"/>
      <protection locked="0"/>
    </xf>
    <xf numFmtId="172" fontId="16" fillId="2" borderId="2" xfId="0" applyNumberFormat="1" applyFont="1" applyFill="1" applyBorder="1" applyAlignment="1">
      <alignment horizontal="center" vertical="center"/>
    </xf>
    <xf numFmtId="0" fontId="32" fillId="2" borderId="0" xfId="0" applyFont="1" applyFill="1" applyAlignment="1">
      <alignment horizontal="left"/>
    </xf>
    <xf numFmtId="0" fontId="0" fillId="2" borderId="0" xfId="0" applyFill="1" applyAlignment="1">
      <alignment horizontal="left"/>
    </xf>
    <xf numFmtId="184" fontId="16" fillId="2" borderId="6" xfId="0" applyNumberFormat="1" applyFont="1" applyFill="1" applyBorder="1" applyAlignment="1">
      <alignment horizontal="center" vertical="center"/>
    </xf>
    <xf numFmtId="184" fontId="16" fillId="2" borderId="0" xfId="0" applyNumberFormat="1" applyFont="1" applyFill="1" applyAlignment="1">
      <alignment horizontal="center" vertical="center"/>
    </xf>
    <xf numFmtId="184" fontId="16" fillId="2" borderId="7" xfId="0" applyNumberFormat="1" applyFont="1" applyFill="1" applyBorder="1" applyAlignment="1">
      <alignment horizontal="center" vertical="center"/>
    </xf>
    <xf numFmtId="177" fontId="16" fillId="0" borderId="2" xfId="0" applyNumberFormat="1" applyFont="1" applyBorder="1" applyAlignment="1">
      <alignment horizontal="center" vertical="center"/>
    </xf>
    <xf numFmtId="172" fontId="16" fillId="2" borderId="6" xfId="0" applyNumberFormat="1" applyFont="1" applyFill="1" applyBorder="1" applyAlignment="1">
      <alignment horizontal="center" vertical="center"/>
    </xf>
    <xf numFmtId="172" fontId="16" fillId="2" borderId="0" xfId="0" applyNumberFormat="1" applyFont="1" applyFill="1" applyAlignment="1">
      <alignment horizontal="center" vertical="center"/>
    </xf>
    <xf numFmtId="172" fontId="16" fillId="2" borderId="7" xfId="0" applyNumberFormat="1" applyFont="1" applyFill="1" applyBorder="1" applyAlignment="1">
      <alignment horizontal="center" vertical="center"/>
    </xf>
    <xf numFmtId="171" fontId="16" fillId="6" borderId="2" xfId="0" applyNumberFormat="1" applyFont="1" applyFill="1" applyBorder="1" applyAlignment="1" applyProtection="1">
      <alignment horizontal="center" vertical="center"/>
      <protection locked="0"/>
    </xf>
    <xf numFmtId="171" fontId="38" fillId="10" borderId="2" xfId="0" applyNumberFormat="1" applyFont="1" applyFill="1" applyBorder="1" applyAlignment="1">
      <alignment horizontal="center" vertical="center"/>
    </xf>
    <xf numFmtId="172" fontId="38" fillId="10" borderId="2" xfId="0" applyNumberFormat="1" applyFont="1" applyFill="1" applyBorder="1" applyAlignment="1">
      <alignment horizontal="center" vertical="center"/>
    </xf>
    <xf numFmtId="171" fontId="16" fillId="6" borderId="3" xfId="0" applyNumberFormat="1" applyFont="1" applyFill="1" applyBorder="1" applyAlignment="1" applyProtection="1">
      <alignment horizontal="center" vertical="center"/>
      <protection locked="0"/>
    </xf>
    <xf numFmtId="171" fontId="16" fillId="6" borderId="5" xfId="0" applyNumberFormat="1" applyFont="1" applyFill="1" applyBorder="1" applyAlignment="1" applyProtection="1">
      <alignment horizontal="center" vertical="center"/>
      <protection locked="0"/>
    </xf>
    <xf numFmtId="180" fontId="16" fillId="3" borderId="0" xfId="0" applyNumberFormat="1" applyFont="1" applyFill="1" applyAlignment="1">
      <alignment horizontal="center" vertical="center"/>
    </xf>
    <xf numFmtId="171" fontId="16" fillId="2" borderId="2" xfId="0" applyNumberFormat="1" applyFont="1" applyFill="1" applyBorder="1" applyAlignment="1">
      <alignment horizontal="center" vertical="center"/>
    </xf>
    <xf numFmtId="188" fontId="24" fillId="2" borderId="0" xfId="0" applyNumberFormat="1" applyFont="1" applyFill="1" applyAlignment="1">
      <alignment horizontal="center" vertical="center" wrapText="1"/>
    </xf>
    <xf numFmtId="0" fontId="81" fillId="15" borderId="0" xfId="0" applyFont="1" applyFill="1" applyAlignment="1">
      <alignment horizontal="center" vertical="center"/>
    </xf>
    <xf numFmtId="0" fontId="16" fillId="3" borderId="2" xfId="0" applyFont="1" applyFill="1" applyBorder="1" applyAlignment="1">
      <alignment horizontal="left" vertical="center"/>
    </xf>
    <xf numFmtId="0" fontId="38" fillId="10" borderId="2" xfId="0" applyFont="1" applyFill="1" applyBorder="1" applyAlignment="1">
      <alignment horizontal="center" vertical="center"/>
    </xf>
    <xf numFmtId="171" fontId="16" fillId="13" borderId="2" xfId="0" applyNumberFormat="1" applyFont="1" applyFill="1" applyBorder="1" applyAlignment="1">
      <alignment horizontal="center" vertical="center"/>
    </xf>
    <xf numFmtId="172" fontId="16" fillId="13" borderId="2" xfId="0" applyNumberFormat="1" applyFont="1" applyFill="1" applyBorder="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horizontal="right"/>
    </xf>
    <xf numFmtId="3" fontId="6" fillId="5" borderId="2" xfId="0" applyNumberFormat="1" applyFont="1" applyFill="1" applyBorder="1" applyAlignment="1">
      <alignment horizontal="center" vertical="center" wrapText="1"/>
    </xf>
    <xf numFmtId="0" fontId="2" fillId="20" borderId="3" xfId="0" applyFont="1" applyFill="1" applyBorder="1" applyAlignment="1">
      <alignment horizontal="center" vertical="center"/>
    </xf>
    <xf numFmtId="0" fontId="2" fillId="20" borderId="2" xfId="0" applyFont="1" applyFill="1" applyBorder="1" applyAlignment="1">
      <alignment horizontal="left" vertical="center"/>
    </xf>
    <xf numFmtId="0" fontId="12" fillId="20" borderId="2" xfId="0" applyFont="1" applyFill="1" applyBorder="1" applyAlignment="1">
      <alignment horizontal="center" vertical="center"/>
    </xf>
    <xf numFmtId="0" fontId="2" fillId="20" borderId="2" xfId="0" applyFont="1" applyFill="1" applyBorder="1" applyAlignment="1">
      <alignment horizontal="center" vertical="center"/>
    </xf>
    <xf numFmtId="0" fontId="84" fillId="2" borderId="0" xfId="0" applyFont="1" applyFill="1" applyAlignment="1">
      <alignment horizontal="center"/>
    </xf>
    <xf numFmtId="0" fontId="83" fillId="2" borderId="0" xfId="0" applyFont="1" applyFill="1" applyAlignment="1">
      <alignment horizontal="right"/>
    </xf>
    <xf numFmtId="0" fontId="24" fillId="9" borderId="13" xfId="0" applyFont="1" applyFill="1" applyBorder="1" applyAlignment="1">
      <alignment horizontal="center" vertical="center"/>
    </xf>
    <xf numFmtId="0" fontId="24" fillId="9" borderId="10" xfId="0" applyFont="1" applyFill="1" applyBorder="1" applyAlignment="1">
      <alignment horizontal="center" vertical="center"/>
    </xf>
  </cellXfs>
  <cellStyles count="3">
    <cellStyle name="Hipervínculo" xfId="1" builtinId="8"/>
    <cellStyle name="Normal" xfId="0" builtinId="0"/>
    <cellStyle name="Porcentaje" xfId="2"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C00000"/>
      </font>
      <fill>
        <patternFill>
          <bgColor rgb="FFFFCCCC"/>
        </patternFill>
      </fill>
    </dxf>
    <dxf>
      <font>
        <b val="0"/>
        <i val="0"/>
        <strike val="0"/>
        <color rgb="FFFF0000"/>
        <name val="Calibri Light"/>
        <scheme val="none"/>
      </font>
    </dxf>
    <dxf>
      <font>
        <b/>
        <i val="0"/>
        <color rgb="FFFF0000"/>
      </font>
      <fill>
        <patternFill>
          <bgColor rgb="FFFFFFCC"/>
        </patternFill>
      </fill>
    </dxf>
    <dxf>
      <font>
        <b/>
        <i/>
        <strike val="0"/>
        <color rgb="FFC00000"/>
      </font>
      <fill>
        <patternFill patternType="solid">
          <bgColor rgb="FFFFCCCC"/>
        </patternFill>
      </fill>
    </dxf>
    <dxf>
      <font>
        <b/>
        <i val="0"/>
        <color rgb="FFFF0000"/>
      </font>
      <fill>
        <patternFill patternType="none">
          <bgColor indexed="65"/>
        </patternFill>
      </fill>
    </dxf>
    <dxf>
      <font>
        <b/>
        <i val="0"/>
        <color rgb="FFFF0000"/>
      </font>
      <fill>
        <patternFill patternType="solid">
          <bgColor rgb="FFFFFF99"/>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bgColor rgb="FFFFFFCC"/>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8" Type="http://schemas.openxmlformats.org/officeDocument/2006/relationships/hyperlink" Target="https://www.mapa.gob.es/es/agricultura/temas/producciones-agricolas/frutas-y-hortalizas/boletin_semanal_precios.aspx" TargetMode="External"/><Relationship Id="rId3" Type="http://schemas.openxmlformats.org/officeDocument/2006/relationships/hyperlink" Target="https://www.imida.es/libros" TargetMode="External"/><Relationship Id="rId7"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hyperlink" Target="https://www.ailimpo.com/contratos-homologados/" TargetMode="External"/><Relationship Id="rId6" Type="http://schemas.openxmlformats.org/officeDocument/2006/relationships/image" Target="../media/image4.png"/><Relationship Id="rId11" Type="http://schemas.openxmlformats.org/officeDocument/2006/relationships/image" Target="../media/image7.png"/><Relationship Id="rId5" Type="http://schemas.openxmlformats.org/officeDocument/2006/relationships/hyperlink" Target="http://www.carm.es/web/pagina?IDCONTENIDO=1396&amp;IDTIPO=100&amp;RASTRO=c80$m22721,22746,1174" TargetMode="External"/><Relationship Id="rId10" Type="http://schemas.openxmlformats.org/officeDocument/2006/relationships/hyperlink" Target="https://agroambient.gva.es/es/precios-agrarios" TargetMode="External"/><Relationship Id="rId4" Type="http://schemas.openxmlformats.org/officeDocument/2006/relationships/image" Target="../media/image3.png"/><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58177</xdr:colOff>
      <xdr:row>1</xdr:row>
      <xdr:rowOff>12070</xdr:rowOff>
    </xdr:from>
    <xdr:to>
      <xdr:col>13</xdr:col>
      <xdr:colOff>1506265</xdr:colOff>
      <xdr:row>3</xdr:row>
      <xdr:rowOff>141445</xdr:rowOff>
    </xdr:to>
    <xdr:pic>
      <xdr:nvPicPr>
        <xdr:cNvPr id="3" name="Imagen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7430527" y="88270"/>
          <a:ext cx="1448088" cy="596100"/>
        </a:xfrm>
        <a:prstGeom prst="rect">
          <a:avLst/>
        </a:prstGeom>
        <a:noFill/>
        <a:ln w="28575">
          <a:solidFill>
            <a:srgbClr val="0000FF"/>
          </a:solidFill>
          <a:miter lim="800000"/>
          <a:headEnd/>
          <a:tailEnd/>
        </a:ln>
        <a:effectLst>
          <a:softEdge rad="12700"/>
        </a:effectLst>
      </xdr:spPr>
    </xdr:pic>
    <xdr:clientData/>
  </xdr:twoCellAnchor>
  <xdr:twoCellAnchor editAs="oneCell">
    <xdr:from>
      <xdr:col>13</xdr:col>
      <xdr:colOff>38100</xdr:colOff>
      <xdr:row>3</xdr:row>
      <xdr:rowOff>114300</xdr:rowOff>
    </xdr:from>
    <xdr:to>
      <xdr:col>13</xdr:col>
      <xdr:colOff>1524000</xdr:colOff>
      <xdr:row>8</xdr:row>
      <xdr:rowOff>0</xdr:rowOff>
    </xdr:to>
    <xdr:pic>
      <xdr:nvPicPr>
        <xdr:cNvPr id="1352" name="Imagen 2">
          <a:hlinkClick xmlns:r="http://schemas.openxmlformats.org/officeDocument/2006/relationships" r:id="rId3"/>
          <a:extLst>
            <a:ext uri="{FF2B5EF4-FFF2-40B4-BE49-F238E27FC236}">
              <a16:creationId xmlns:a16="http://schemas.microsoft.com/office/drawing/2014/main" id="{00000000-0008-0000-0000-000048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10450" y="657225"/>
          <a:ext cx="1485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2</xdr:row>
      <xdr:rowOff>47625</xdr:rowOff>
    </xdr:from>
    <xdr:to>
      <xdr:col>4</xdr:col>
      <xdr:colOff>190500</xdr:colOff>
      <xdr:row>4</xdr:row>
      <xdr:rowOff>9525</xdr:rowOff>
    </xdr:to>
    <xdr:pic>
      <xdr:nvPicPr>
        <xdr:cNvPr id="1353" name="Imagen 7">
          <a:hlinkClick xmlns:r="http://schemas.openxmlformats.org/officeDocument/2006/relationships" r:id="rId5"/>
          <a:extLst>
            <a:ext uri="{FF2B5EF4-FFF2-40B4-BE49-F238E27FC236}">
              <a16:creationId xmlns:a16="http://schemas.microsoft.com/office/drawing/2014/main" id="{00000000-0008-0000-0000-00004905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0600" y="523875"/>
          <a:ext cx="19621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628650</xdr:colOff>
      <xdr:row>81</xdr:row>
      <xdr:rowOff>47625</xdr:rowOff>
    </xdr:from>
    <xdr:to>
      <xdr:col>21</xdr:col>
      <xdr:colOff>57150</xdr:colOff>
      <xdr:row>84</xdr:row>
      <xdr:rowOff>95250</xdr:rowOff>
    </xdr:to>
    <xdr:pic>
      <xdr:nvPicPr>
        <xdr:cNvPr id="1354" name="Imagen 2">
          <a:extLst>
            <a:ext uri="{FF2B5EF4-FFF2-40B4-BE49-F238E27FC236}">
              <a16:creationId xmlns:a16="http://schemas.microsoft.com/office/drawing/2014/main" id="{00000000-0008-0000-0000-00004A05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77550" y="11610975"/>
          <a:ext cx="3057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2600325</xdr:colOff>
      <xdr:row>0</xdr:row>
      <xdr:rowOff>0</xdr:rowOff>
    </xdr:from>
    <xdr:to>
      <xdr:col>21</xdr:col>
      <xdr:colOff>1809750</xdr:colOff>
      <xdr:row>2</xdr:row>
      <xdr:rowOff>28575</xdr:rowOff>
    </xdr:to>
    <xdr:pic>
      <xdr:nvPicPr>
        <xdr:cNvPr id="1355" name="Imagen 17">
          <a:extLst>
            <a:ext uri="{FF2B5EF4-FFF2-40B4-BE49-F238E27FC236}">
              <a16:creationId xmlns:a16="http://schemas.microsoft.com/office/drawing/2014/main" id="{00000000-0008-0000-0000-00004B05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506450" y="0"/>
          <a:ext cx="21812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2</xdr:row>
      <xdr:rowOff>47625</xdr:rowOff>
    </xdr:from>
    <xdr:to>
      <xdr:col>12</xdr:col>
      <xdr:colOff>28575</xdr:colOff>
      <xdr:row>4</xdr:row>
      <xdr:rowOff>19050</xdr:rowOff>
    </xdr:to>
    <xdr:pic>
      <xdr:nvPicPr>
        <xdr:cNvPr id="1356" name="Imagen 2">
          <a:hlinkClick xmlns:r="http://schemas.openxmlformats.org/officeDocument/2006/relationships" r:id="rId8"/>
          <a:extLst>
            <a:ext uri="{FF2B5EF4-FFF2-40B4-BE49-F238E27FC236}">
              <a16:creationId xmlns:a16="http://schemas.microsoft.com/office/drawing/2014/main" id="{00000000-0008-0000-0000-00004C05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181600" y="523875"/>
          <a:ext cx="2152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xdr:row>
      <xdr:rowOff>38100</xdr:rowOff>
    </xdr:from>
    <xdr:to>
      <xdr:col>8</xdr:col>
      <xdr:colOff>28575</xdr:colOff>
      <xdr:row>4</xdr:row>
      <xdr:rowOff>9525</xdr:rowOff>
    </xdr:to>
    <xdr:pic>
      <xdr:nvPicPr>
        <xdr:cNvPr id="1357" name="Imagen 6">
          <a:hlinkClick xmlns:r="http://schemas.openxmlformats.org/officeDocument/2006/relationships" r:id="rId10"/>
          <a:extLst>
            <a:ext uri="{FF2B5EF4-FFF2-40B4-BE49-F238E27FC236}">
              <a16:creationId xmlns:a16="http://schemas.microsoft.com/office/drawing/2014/main" id="{00000000-0008-0000-0000-00004D05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981325" y="514350"/>
          <a:ext cx="2181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7620</xdr:colOff>
          <xdr:row>13</xdr:row>
          <xdr:rowOff>7620</xdr:rowOff>
        </xdr:from>
        <xdr:to>
          <xdr:col>11</xdr:col>
          <xdr:colOff>220980</xdr:colOff>
          <xdr:row>14</xdr:row>
          <xdr:rowOff>7620</xdr:rowOff>
        </xdr:to>
        <xdr:sp macro="" textlink="">
          <xdr:nvSpPr>
            <xdr:cNvPr id="1033" name="Label1"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0</xdr:colOff>
      <xdr:row>87</xdr:row>
      <xdr:rowOff>0</xdr:rowOff>
    </xdr:from>
    <xdr:to>
      <xdr:col>18</xdr:col>
      <xdr:colOff>571500</xdr:colOff>
      <xdr:row>108</xdr:row>
      <xdr:rowOff>104775</xdr:rowOff>
    </xdr:to>
    <xdr:pic>
      <xdr:nvPicPr>
        <xdr:cNvPr id="1358" name="Imagen 2">
          <a:extLst>
            <a:ext uri="{FF2B5EF4-FFF2-40B4-BE49-F238E27FC236}">
              <a16:creationId xmlns:a16="http://schemas.microsoft.com/office/drawing/2014/main" id="{00000000-0008-0000-0000-00004E05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1925" y="12725400"/>
          <a:ext cx="106584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D110"/>
  <sheetViews>
    <sheetView tabSelected="1" zoomScaleNormal="100" zoomScaleSheetLayoutView="100" workbookViewId="0">
      <selection activeCell="E8" sqref="E8:H8"/>
    </sheetView>
  </sheetViews>
  <sheetFormatPr baseColWidth="10" defaultRowHeight="13.2" x14ac:dyDescent="0.25"/>
  <cols>
    <col min="1" max="1" width="1.33203125" style="177" customWidth="1"/>
    <col min="2" max="2" width="1.109375" style="177" customWidth="1"/>
    <col min="3" max="3" width="38.109375" style="177" customWidth="1"/>
    <col min="4" max="4" width="0.88671875" style="177" customWidth="1"/>
    <col min="5" max="5" width="4.33203125" style="177" customWidth="1"/>
    <col min="6" max="6" width="1.5546875" style="177" customWidth="1"/>
    <col min="7" max="7" width="5.5546875" style="177" customWidth="1"/>
    <col min="8" max="8" width="24.109375" style="177" customWidth="1"/>
    <col min="9" max="9" width="0.88671875" style="177" customWidth="1"/>
    <col min="10" max="10" width="14.6640625" style="177" customWidth="1"/>
    <col min="11" max="11" width="1" style="177" customWidth="1"/>
    <col min="12" max="12" width="16" style="177" customWidth="1"/>
    <col min="13" max="13" width="1" style="177" customWidth="1"/>
    <col min="14" max="14" width="23.33203125" style="177" customWidth="1"/>
    <col min="15" max="15" width="1.109375" style="177" customWidth="1"/>
    <col min="16" max="16" width="1" style="177" customWidth="1"/>
    <col min="17" max="17" width="11.109375" customWidth="1"/>
    <col min="18" max="18" width="6.5546875" customWidth="1"/>
    <col min="19" max="19" width="9.88671875" customWidth="1"/>
    <col min="20" max="20" width="43.5546875" customWidth="1"/>
    <col min="21" max="21" width="1" customWidth="1"/>
    <col min="22" max="22" width="28.33203125" customWidth="1"/>
    <col min="23" max="23" width="1" customWidth="1"/>
    <col min="24" max="24" width="8" style="177" customWidth="1"/>
    <col min="29" max="29" width="16.44140625" customWidth="1"/>
    <col min="30" max="30" width="13.6640625" bestFit="1" customWidth="1"/>
  </cols>
  <sheetData>
    <row r="1" spans="1:30" ht="6" customHeight="1" x14ac:dyDescent="0.25">
      <c r="A1" s="373"/>
      <c r="B1" s="373"/>
      <c r="C1" s="373"/>
      <c r="D1" s="373"/>
      <c r="E1" s="373"/>
      <c r="F1" s="373"/>
      <c r="G1" s="373"/>
      <c r="H1" s="373"/>
      <c r="I1" s="373"/>
      <c r="J1" s="373"/>
      <c r="K1" s="373"/>
      <c r="L1" s="373"/>
      <c r="M1" s="373"/>
      <c r="N1" s="373"/>
      <c r="O1" s="373"/>
      <c r="P1" s="373"/>
      <c r="Q1" s="71"/>
      <c r="R1" s="71"/>
      <c r="S1" s="71"/>
      <c r="T1" s="71"/>
      <c r="U1" s="71"/>
      <c r="V1" s="71"/>
      <c r="W1" s="71"/>
      <c r="X1" s="72"/>
      <c r="Y1" s="73"/>
      <c r="Z1" s="73"/>
      <c r="AA1" s="73"/>
      <c r="AB1" s="73"/>
      <c r="AC1" s="74" t="s">
        <v>211</v>
      </c>
      <c r="AD1" s="74"/>
    </row>
    <row r="2" spans="1:30" ht="31.5" customHeight="1" x14ac:dyDescent="0.25">
      <c r="A2" s="373"/>
      <c r="B2" s="369"/>
      <c r="C2" s="374" t="s">
        <v>284</v>
      </c>
      <c r="D2" s="374"/>
      <c r="E2" s="374"/>
      <c r="F2" s="374"/>
      <c r="G2" s="374"/>
      <c r="H2" s="374"/>
      <c r="I2" s="374"/>
      <c r="J2" s="374"/>
      <c r="K2" s="374"/>
      <c r="L2" s="374"/>
      <c r="M2" s="75"/>
      <c r="N2" s="76"/>
      <c r="O2" s="369"/>
      <c r="P2" s="373"/>
      <c r="Q2" s="77"/>
      <c r="R2" s="77"/>
      <c r="S2" s="365" t="str">
        <f>CONCATENATE(E8,"                                                                          ",J10)</f>
        <v xml:space="preserve">                                                                          </v>
      </c>
      <c r="T2" s="365"/>
      <c r="U2" s="78"/>
      <c r="V2" s="78"/>
      <c r="W2" s="78"/>
      <c r="X2" s="78"/>
      <c r="Y2" s="73"/>
      <c r="Z2" s="73"/>
      <c r="AA2" s="73"/>
      <c r="AB2" s="73"/>
      <c r="AC2" s="74" t="s">
        <v>212</v>
      </c>
      <c r="AD2" s="74"/>
    </row>
    <row r="3" spans="1:30" ht="5.25" customHeight="1" x14ac:dyDescent="0.25">
      <c r="A3" s="373"/>
      <c r="B3" s="369"/>
      <c r="C3" s="75"/>
      <c r="D3" s="75"/>
      <c r="E3" s="75"/>
      <c r="F3" s="75"/>
      <c r="G3" s="75"/>
      <c r="H3" s="75"/>
      <c r="I3" s="75"/>
      <c r="J3" s="75"/>
      <c r="K3" s="75"/>
      <c r="L3" s="75"/>
      <c r="M3" s="75"/>
      <c r="N3" s="76"/>
      <c r="O3" s="369"/>
      <c r="P3" s="373"/>
      <c r="Q3" s="77"/>
      <c r="R3" s="77"/>
      <c r="S3" s="77"/>
      <c r="T3" s="77"/>
      <c r="U3" s="77"/>
      <c r="V3" s="77"/>
      <c r="W3" s="79"/>
      <c r="X3" s="72"/>
      <c r="Y3" s="73"/>
      <c r="Z3" s="73"/>
      <c r="AA3" s="73"/>
      <c r="AB3" s="73"/>
      <c r="AC3" s="74"/>
      <c r="AD3" s="74"/>
    </row>
    <row r="4" spans="1:30" ht="19.5" customHeight="1" x14ac:dyDescent="0.25">
      <c r="A4" s="373"/>
      <c r="B4" s="369"/>
      <c r="C4" s="80"/>
      <c r="D4" s="80"/>
      <c r="E4" s="80"/>
      <c r="F4" s="80"/>
      <c r="G4" s="80"/>
      <c r="H4" s="80"/>
      <c r="I4" s="80"/>
      <c r="J4" s="80"/>
      <c r="K4" s="80"/>
      <c r="L4" s="80"/>
      <c r="M4" s="80"/>
      <c r="N4" s="81"/>
      <c r="O4" s="369"/>
      <c r="P4" s="373"/>
      <c r="Q4" s="82"/>
      <c r="R4" s="77"/>
      <c r="S4" s="366" t="s">
        <v>279</v>
      </c>
      <c r="T4" s="367"/>
      <c r="U4" s="367"/>
      <c r="V4" s="368"/>
      <c r="W4" s="79"/>
      <c r="X4" s="72"/>
      <c r="Y4" s="73"/>
      <c r="Z4" s="73"/>
      <c r="AA4" s="73"/>
      <c r="AB4" s="73"/>
      <c r="AC4" s="83" t="e">
        <f>(E12*10000)/AC6</f>
        <v>#DIV/0!</v>
      </c>
      <c r="AD4" s="84" t="e">
        <f>ROUNDUP(AC4,0)</f>
        <v>#DIV/0!</v>
      </c>
    </row>
    <row r="5" spans="1:30" ht="3.75" customHeight="1" x14ac:dyDescent="0.25">
      <c r="A5" s="373"/>
      <c r="B5" s="369"/>
      <c r="C5" s="369"/>
      <c r="D5" s="369"/>
      <c r="E5" s="369"/>
      <c r="F5" s="369"/>
      <c r="G5" s="369"/>
      <c r="H5" s="369"/>
      <c r="I5" s="369"/>
      <c r="J5" s="369"/>
      <c r="K5" s="80"/>
      <c r="L5" s="80"/>
      <c r="M5" s="80"/>
      <c r="N5" s="81"/>
      <c r="O5" s="369"/>
      <c r="P5" s="373"/>
      <c r="Q5" s="85"/>
      <c r="R5" s="77"/>
      <c r="S5" s="370"/>
      <c r="T5" s="370"/>
      <c r="U5" s="370"/>
      <c r="V5" s="370"/>
      <c r="W5" s="79"/>
      <c r="X5" s="72"/>
      <c r="Y5" s="73"/>
      <c r="Z5" s="73"/>
      <c r="AA5" s="73"/>
      <c r="AB5" s="73"/>
      <c r="AC5" s="86"/>
      <c r="AD5" s="86"/>
    </row>
    <row r="6" spans="1:30" ht="20.25" customHeight="1" x14ac:dyDescent="0.25">
      <c r="A6" s="373"/>
      <c r="B6" s="369"/>
      <c r="C6" s="371" t="s">
        <v>213</v>
      </c>
      <c r="D6" s="371"/>
      <c r="E6" s="371"/>
      <c r="F6" s="371"/>
      <c r="G6" s="371"/>
      <c r="H6" s="371"/>
      <c r="I6" s="371"/>
      <c r="J6" s="371"/>
      <c r="K6" s="371"/>
      <c r="L6" s="371"/>
      <c r="M6" s="87"/>
      <c r="N6" s="88"/>
      <c r="O6" s="369"/>
      <c r="P6" s="373"/>
      <c r="Q6" s="89"/>
      <c r="R6" s="77"/>
      <c r="S6" s="372" t="s">
        <v>214</v>
      </c>
      <c r="T6" s="372"/>
      <c r="U6" s="372"/>
      <c r="V6" s="372"/>
      <c r="W6" s="79"/>
      <c r="X6" s="72"/>
      <c r="Y6" s="73"/>
      <c r="Z6" s="73"/>
      <c r="AA6" s="73"/>
      <c r="AB6" s="73"/>
      <c r="AC6" s="90">
        <f>E10*G10</f>
        <v>0</v>
      </c>
      <c r="AD6" s="86"/>
    </row>
    <row r="7" spans="1:30" ht="3" customHeight="1" x14ac:dyDescent="0.25">
      <c r="A7" s="373"/>
      <c r="B7" s="369"/>
      <c r="C7" s="369"/>
      <c r="D7" s="369"/>
      <c r="E7" s="369"/>
      <c r="F7" s="369"/>
      <c r="G7" s="369"/>
      <c r="H7" s="369"/>
      <c r="I7" s="369"/>
      <c r="J7" s="369"/>
      <c r="K7" s="91"/>
      <c r="L7" s="92"/>
      <c r="M7" s="80"/>
      <c r="N7" s="93"/>
      <c r="O7" s="369"/>
      <c r="P7" s="373"/>
      <c r="Q7" s="77"/>
      <c r="R7" s="77"/>
      <c r="S7" s="378"/>
      <c r="T7" s="378"/>
      <c r="U7" s="378"/>
      <c r="V7" s="378"/>
      <c r="W7" s="79"/>
      <c r="X7" s="72"/>
      <c r="Y7" s="73"/>
      <c r="Z7" s="73"/>
      <c r="AA7" s="73"/>
      <c r="AB7" s="73"/>
      <c r="AC7" s="73"/>
      <c r="AD7" s="73"/>
    </row>
    <row r="8" spans="1:30" ht="19.5" customHeight="1" x14ac:dyDescent="0.25">
      <c r="A8" s="373"/>
      <c r="B8" s="369"/>
      <c r="C8" s="94" t="s">
        <v>215</v>
      </c>
      <c r="D8" s="75"/>
      <c r="E8" s="383"/>
      <c r="F8" s="383"/>
      <c r="G8" s="383"/>
      <c r="H8" s="383"/>
      <c r="I8" s="80"/>
      <c r="J8" s="384" t="s">
        <v>280</v>
      </c>
      <c r="K8" s="385"/>
      <c r="L8" s="385"/>
      <c r="M8" s="87"/>
      <c r="N8" s="88"/>
      <c r="O8" s="369"/>
      <c r="P8" s="373"/>
      <c r="Q8" s="77"/>
      <c r="R8" s="77"/>
      <c r="S8" s="381" t="s">
        <v>216</v>
      </c>
      <c r="T8" s="381"/>
      <c r="U8" s="95"/>
      <c r="V8" s="96" t="e">
        <f>((J22+L20)*E12)-E30-E51</f>
        <v>#DIV/0!</v>
      </c>
      <c r="W8" s="79"/>
      <c r="X8" s="72"/>
      <c r="Y8" s="73"/>
      <c r="Z8" s="73"/>
      <c r="AA8" s="73"/>
      <c r="AB8" s="73"/>
      <c r="AC8" s="73"/>
      <c r="AD8" s="73"/>
    </row>
    <row r="9" spans="1:30" ht="3" customHeight="1" x14ac:dyDescent="0.25">
      <c r="A9" s="373"/>
      <c r="B9" s="369"/>
      <c r="C9" s="97"/>
      <c r="D9" s="75"/>
      <c r="E9" s="80"/>
      <c r="F9" s="80"/>
      <c r="G9" s="80"/>
      <c r="H9" s="80"/>
      <c r="I9" s="80"/>
      <c r="J9" s="80"/>
      <c r="K9" s="91"/>
      <c r="L9" s="80"/>
      <c r="M9" s="80"/>
      <c r="N9" s="80"/>
      <c r="O9" s="369"/>
      <c r="P9" s="373"/>
      <c r="Q9" s="77"/>
      <c r="R9" s="77"/>
      <c r="S9" s="378"/>
      <c r="T9" s="378"/>
      <c r="U9" s="378"/>
      <c r="V9" s="378"/>
      <c r="W9" s="79"/>
      <c r="X9" s="72"/>
      <c r="Y9" s="73"/>
      <c r="Z9" s="73"/>
      <c r="AA9" s="73"/>
      <c r="AB9" s="73"/>
      <c r="AC9" s="73"/>
      <c r="AD9" s="73"/>
    </row>
    <row r="10" spans="1:30" ht="19.5" customHeight="1" x14ac:dyDescent="0.25">
      <c r="A10" s="373"/>
      <c r="B10" s="369"/>
      <c r="C10" s="94" t="s">
        <v>217</v>
      </c>
      <c r="D10" s="75"/>
      <c r="E10" s="98"/>
      <c r="F10" s="99" t="s">
        <v>218</v>
      </c>
      <c r="G10" s="100"/>
      <c r="H10" s="101" t="e">
        <f>CONCATENATE(" ",AD4," pies"," ","a"," ",AC6," m²/pie")</f>
        <v>#DIV/0!</v>
      </c>
      <c r="I10" s="91"/>
      <c r="J10" s="386"/>
      <c r="K10" s="386"/>
      <c r="L10" s="386"/>
      <c r="M10" s="102"/>
      <c r="N10" s="103" t="s">
        <v>219</v>
      </c>
      <c r="O10" s="369"/>
      <c r="P10" s="373"/>
      <c r="Q10" s="77"/>
      <c r="R10" s="77"/>
      <c r="S10" s="381" t="s">
        <v>220</v>
      </c>
      <c r="T10" s="381"/>
      <c r="U10" s="95"/>
      <c r="V10" s="104" t="e">
        <f>(E30+E51)/E12</f>
        <v>#DIV/0!</v>
      </c>
      <c r="W10" s="79"/>
      <c r="X10" s="72"/>
      <c r="Y10" s="73"/>
      <c r="Z10" s="73"/>
      <c r="AA10" s="73"/>
      <c r="AB10" s="73"/>
      <c r="AC10" s="73"/>
      <c r="AD10" s="73"/>
    </row>
    <row r="11" spans="1:30" ht="3" customHeight="1" x14ac:dyDescent="0.25">
      <c r="A11" s="373"/>
      <c r="B11" s="369"/>
      <c r="C11" s="80"/>
      <c r="D11" s="75"/>
      <c r="E11" s="92"/>
      <c r="F11" s="92"/>
      <c r="G11" s="92"/>
      <c r="H11" s="105"/>
      <c r="I11" s="105"/>
      <c r="J11" s="92"/>
      <c r="K11" s="91"/>
      <c r="L11" s="80"/>
      <c r="M11" s="80"/>
      <c r="N11" s="80"/>
      <c r="O11" s="369"/>
      <c r="P11" s="373"/>
      <c r="Q11" s="77"/>
      <c r="R11" s="77"/>
      <c r="S11" s="378"/>
      <c r="T11" s="378"/>
      <c r="U11" s="378"/>
      <c r="V11" s="378"/>
      <c r="W11" s="79"/>
      <c r="X11" s="72"/>
      <c r="Y11" s="73"/>
      <c r="Z11" s="73"/>
      <c r="AA11" s="73"/>
      <c r="AB11" s="73"/>
      <c r="AC11" s="73"/>
      <c r="AD11" s="73"/>
    </row>
    <row r="12" spans="1:30" ht="19.5" customHeight="1" x14ac:dyDescent="0.25">
      <c r="A12" s="373"/>
      <c r="B12" s="369"/>
      <c r="C12" s="106" t="s">
        <v>221</v>
      </c>
      <c r="D12" s="75"/>
      <c r="E12" s="379"/>
      <c r="F12" s="379"/>
      <c r="G12" s="379"/>
      <c r="H12" s="379"/>
      <c r="I12" s="107"/>
      <c r="J12" s="380" t="s">
        <v>222</v>
      </c>
      <c r="K12" s="380"/>
      <c r="L12" s="380"/>
      <c r="M12" s="107"/>
      <c r="N12" s="108" t="str">
        <f>CONCATENATE("M.P.",": ",costes0!I3,"x",costes0!J3,":",costes0!K3,"m²",":",costes0!H3," ud")</f>
        <v>M.P.: 7x5:35m²:286 ud</v>
      </c>
      <c r="O12" s="369"/>
      <c r="P12" s="373"/>
      <c r="Q12" s="77"/>
      <c r="R12" s="77"/>
      <c r="S12" s="381" t="s">
        <v>223</v>
      </c>
      <c r="T12" s="381"/>
      <c r="U12" s="95"/>
      <c r="V12" s="109" t="e">
        <f>(V8/(E30+E51))*100</f>
        <v>#DIV/0!</v>
      </c>
      <c r="W12" s="79"/>
      <c r="X12" s="72"/>
      <c r="Y12" s="73"/>
      <c r="Z12" s="73"/>
      <c r="AA12" s="73"/>
      <c r="AB12" s="73"/>
      <c r="AC12" s="73"/>
      <c r="AD12" s="73"/>
    </row>
    <row r="13" spans="1:30" ht="3" customHeight="1" x14ac:dyDescent="0.25">
      <c r="A13" s="373"/>
      <c r="B13" s="369"/>
      <c r="C13" s="80"/>
      <c r="D13" s="75"/>
      <c r="E13" s="92"/>
      <c r="F13" s="92"/>
      <c r="G13" s="92"/>
      <c r="H13" s="105"/>
      <c r="I13" s="107"/>
      <c r="J13" s="92"/>
      <c r="K13" s="91"/>
      <c r="L13" s="92"/>
      <c r="M13" s="107"/>
      <c r="N13" s="110"/>
      <c r="O13" s="369"/>
      <c r="P13" s="373"/>
      <c r="Q13" s="77"/>
      <c r="R13" s="77"/>
      <c r="S13" s="378"/>
      <c r="T13" s="378"/>
      <c r="U13" s="378"/>
      <c r="V13" s="378"/>
      <c r="W13" s="79"/>
      <c r="X13" s="72"/>
      <c r="Y13" s="73"/>
      <c r="Z13" s="73"/>
      <c r="AA13" s="73"/>
      <c r="AB13" s="73"/>
      <c r="AC13" s="73"/>
      <c r="AD13" s="73"/>
    </row>
    <row r="14" spans="1:30" ht="19.5" customHeight="1" x14ac:dyDescent="0.25">
      <c r="A14" s="373"/>
      <c r="B14" s="369"/>
      <c r="C14" s="94" t="s">
        <v>224</v>
      </c>
      <c r="D14" s="75"/>
      <c r="E14" s="382"/>
      <c r="F14" s="382"/>
      <c r="G14" s="382"/>
      <c r="H14" s="382"/>
      <c r="I14" s="107"/>
      <c r="J14" s="111"/>
      <c r="K14" s="112"/>
      <c r="L14" s="113"/>
      <c r="M14" s="107"/>
      <c r="N14" s="114" t="str">
        <f>CONCATENATE(costes0!C3," ","Kg/Ha"," ","-"," ",costes0!C6," ","€/Kg")</f>
        <v>32000 Kg/Ha - 0,36 €/Kg</v>
      </c>
      <c r="O14" s="369"/>
      <c r="P14" s="373"/>
      <c r="Q14" s="77"/>
      <c r="R14" s="77"/>
      <c r="S14" s="381" t="s">
        <v>225</v>
      </c>
      <c r="T14" s="381"/>
      <c r="U14" s="95"/>
      <c r="V14" s="115" t="e">
        <f>(((E30+E51)-(J18*L14))/E14)/E12</f>
        <v>#DIV/0!</v>
      </c>
      <c r="W14" s="79"/>
      <c r="X14" s="72"/>
      <c r="Y14" s="73"/>
      <c r="Z14" s="73"/>
      <c r="AA14" s="73"/>
      <c r="AB14" s="73"/>
      <c r="AC14" s="73"/>
      <c r="AD14" s="73"/>
    </row>
    <row r="15" spans="1:30" ht="3" customHeight="1" x14ac:dyDescent="0.25">
      <c r="A15" s="373"/>
      <c r="B15" s="369"/>
      <c r="C15" s="80"/>
      <c r="D15" s="75"/>
      <c r="E15" s="80"/>
      <c r="F15" s="80"/>
      <c r="G15" s="80"/>
      <c r="H15" s="116"/>
      <c r="I15" s="107"/>
      <c r="J15" s="375"/>
      <c r="K15" s="375"/>
      <c r="L15" s="375"/>
      <c r="M15" s="107"/>
      <c r="N15" s="107"/>
      <c r="O15" s="369"/>
      <c r="P15" s="373"/>
      <c r="Q15" s="77"/>
      <c r="R15" s="77"/>
      <c r="S15" s="378"/>
      <c r="T15" s="378"/>
      <c r="U15" s="378"/>
      <c r="V15" s="378"/>
      <c r="W15" s="79"/>
      <c r="X15" s="72"/>
      <c r="Y15" s="73"/>
      <c r="Z15" s="73"/>
      <c r="AA15" s="73"/>
      <c r="AB15" s="73"/>
      <c r="AC15" s="73"/>
      <c r="AD15" s="73"/>
    </row>
    <row r="16" spans="1:30" ht="19.5" customHeight="1" x14ac:dyDescent="0.25">
      <c r="A16" s="373"/>
      <c r="B16" s="369"/>
      <c r="C16" s="94" t="s">
        <v>226</v>
      </c>
      <c r="D16" s="75"/>
      <c r="E16" s="387"/>
      <c r="F16" s="388"/>
      <c r="G16" s="388"/>
      <c r="H16" s="389"/>
      <c r="I16" s="107"/>
      <c r="J16" s="390" t="e">
        <f>E16/E12</f>
        <v>#DIV/0!</v>
      </c>
      <c r="K16" s="390"/>
      <c r="L16" s="390"/>
      <c r="M16" s="107"/>
      <c r="N16" s="117">
        <f>N22+costes0!D7</f>
        <v>10329.6</v>
      </c>
      <c r="O16" s="369"/>
      <c r="P16" s="373"/>
      <c r="Q16" s="77"/>
      <c r="R16" s="77"/>
      <c r="S16" s="381" t="s">
        <v>227</v>
      </c>
      <c r="T16" s="381"/>
      <c r="U16" s="95"/>
      <c r="V16" s="118" t="e">
        <f>((E30+E51)-J20)/(E16-J18)</f>
        <v>#DIV/0!</v>
      </c>
      <c r="W16" s="79"/>
      <c r="X16" s="72"/>
      <c r="Y16" s="73"/>
      <c r="Z16" s="73"/>
      <c r="AA16" s="73"/>
      <c r="AB16" s="73"/>
      <c r="AC16" s="73"/>
      <c r="AD16" s="73"/>
    </row>
    <row r="17" spans="1:30" ht="3" customHeight="1" x14ac:dyDescent="0.25">
      <c r="A17" s="373"/>
      <c r="B17" s="369"/>
      <c r="C17" s="119"/>
      <c r="D17" s="75"/>
      <c r="E17" s="80"/>
      <c r="F17" s="80"/>
      <c r="G17" s="80"/>
      <c r="H17" s="116"/>
      <c r="I17" s="107"/>
      <c r="J17" s="116"/>
      <c r="K17" s="91"/>
      <c r="L17" s="120"/>
      <c r="M17" s="107"/>
      <c r="N17" s="80"/>
      <c r="O17" s="369"/>
      <c r="P17" s="373"/>
      <c r="Q17" s="77"/>
      <c r="R17" s="77"/>
      <c r="S17" s="378"/>
      <c r="T17" s="378"/>
      <c r="U17" s="378"/>
      <c r="V17" s="378"/>
      <c r="W17" s="79"/>
      <c r="X17" s="72"/>
      <c r="Y17" s="73"/>
      <c r="Z17" s="73"/>
      <c r="AA17" s="73"/>
      <c r="AB17" s="73"/>
      <c r="AC17" s="73"/>
      <c r="AD17" s="73"/>
    </row>
    <row r="18" spans="1:30" ht="18.75" customHeight="1" x14ac:dyDescent="0.25">
      <c r="A18" s="373"/>
      <c r="B18" s="369"/>
      <c r="C18" s="391" t="s">
        <v>228</v>
      </c>
      <c r="D18" s="75"/>
      <c r="E18" s="392" t="s">
        <v>211</v>
      </c>
      <c r="F18" s="75"/>
      <c r="G18" s="393"/>
      <c r="H18" s="393"/>
      <c r="I18" s="107"/>
      <c r="J18" s="121">
        <f>IF(E18="Si",(E16*(G18/100)),0)</f>
        <v>0</v>
      </c>
      <c r="K18" s="91"/>
      <c r="L18" s="122" t="e">
        <f>J18/E12</f>
        <v>#DIV/0!</v>
      </c>
      <c r="M18" s="107"/>
      <c r="N18" s="114" t="str">
        <f>CONCATENATE(costes0!C4," ","%"," ","a"," ",costes0!C7," ","€/Kg")</f>
        <v>12 % a 0,05 €/Kg</v>
      </c>
      <c r="O18" s="369"/>
      <c r="P18" s="373"/>
      <c r="Q18" s="77"/>
      <c r="R18" s="77"/>
      <c r="S18" s="372" t="s">
        <v>229</v>
      </c>
      <c r="T18" s="372"/>
      <c r="U18" s="372"/>
      <c r="V18" s="372"/>
      <c r="W18" s="79"/>
      <c r="X18" s="72"/>
      <c r="Y18" s="73"/>
      <c r="Z18" s="73"/>
      <c r="AA18" s="73"/>
      <c r="AB18" s="73"/>
      <c r="AC18" s="73"/>
      <c r="AD18" s="73"/>
    </row>
    <row r="19" spans="1:30" ht="3" customHeight="1" x14ac:dyDescent="0.25">
      <c r="A19" s="373"/>
      <c r="B19" s="369"/>
      <c r="C19" s="391"/>
      <c r="D19" s="75"/>
      <c r="E19" s="392"/>
      <c r="F19" s="75"/>
      <c r="G19" s="393"/>
      <c r="H19" s="393"/>
      <c r="I19" s="107"/>
      <c r="J19" s="116"/>
      <c r="K19" s="91"/>
      <c r="L19" s="120"/>
      <c r="M19" s="107"/>
      <c r="N19" s="123"/>
      <c r="O19" s="369"/>
      <c r="P19" s="373"/>
      <c r="Q19" s="77"/>
      <c r="R19" s="77"/>
      <c r="S19" s="378"/>
      <c r="T19" s="378"/>
      <c r="U19" s="378"/>
      <c r="V19" s="378"/>
      <c r="W19" s="79"/>
      <c r="X19" s="72"/>
      <c r="Y19" s="73"/>
      <c r="Z19" s="73"/>
      <c r="AA19" s="73"/>
      <c r="AB19" s="73"/>
      <c r="AC19" s="73"/>
      <c r="AD19" s="73"/>
    </row>
    <row r="20" spans="1:30" ht="19.5" customHeight="1" x14ac:dyDescent="0.25">
      <c r="A20" s="373"/>
      <c r="B20" s="369"/>
      <c r="C20" s="391"/>
      <c r="D20" s="75"/>
      <c r="E20" s="392"/>
      <c r="F20" s="75"/>
      <c r="G20" s="393"/>
      <c r="H20" s="393"/>
      <c r="I20" s="75"/>
      <c r="J20" s="124">
        <f>IF(E18="Si",J18*L14,0)</f>
        <v>0</v>
      </c>
      <c r="K20" s="75"/>
      <c r="L20" s="125" t="e">
        <f>J20/E12</f>
        <v>#DIV/0!</v>
      </c>
      <c r="M20" s="107"/>
      <c r="N20" s="126" t="str">
        <f>CONCATENATE(costes0!D5," ","Kg/Ha"," ","-"," ",costes0!D7," ","€/Ha")</f>
        <v>3840 Kg/Ha - 192 €/Ha</v>
      </c>
      <c r="O20" s="369"/>
      <c r="P20" s="373"/>
      <c r="Q20" s="77"/>
      <c r="R20" s="77"/>
      <c r="S20" s="381" t="s">
        <v>230</v>
      </c>
      <c r="T20" s="381"/>
      <c r="U20" s="95"/>
      <c r="V20" s="127" t="str">
        <f>IF(E24=0," NO PROCEDE",E16/(J28*E12))</f>
        <v xml:space="preserve"> NO PROCEDE</v>
      </c>
      <c r="W20" s="79"/>
      <c r="X20" s="72"/>
      <c r="Y20" s="73"/>
      <c r="Z20" s="73"/>
      <c r="AA20" s="73"/>
      <c r="AB20" s="73"/>
      <c r="AC20" s="73"/>
      <c r="AD20" s="73"/>
    </row>
    <row r="21" spans="1:30" ht="3" customHeight="1" x14ac:dyDescent="0.25">
      <c r="A21" s="373"/>
      <c r="B21" s="369"/>
      <c r="C21" s="75"/>
      <c r="D21" s="75"/>
      <c r="E21" s="80"/>
      <c r="F21" s="75"/>
      <c r="G21" s="75"/>
      <c r="H21" s="116"/>
      <c r="I21" s="107"/>
      <c r="J21" s="116"/>
      <c r="K21" s="91"/>
      <c r="L21" s="120"/>
      <c r="M21" s="107"/>
      <c r="N21" s="80"/>
      <c r="O21" s="369"/>
      <c r="P21" s="373"/>
      <c r="Q21" s="77"/>
      <c r="R21" s="77"/>
      <c r="S21" s="378"/>
      <c r="T21" s="378"/>
      <c r="U21" s="378"/>
      <c r="V21" s="378"/>
      <c r="W21" s="79"/>
      <c r="X21" s="72"/>
      <c r="Y21" s="73"/>
      <c r="Z21" s="73"/>
      <c r="AA21" s="73"/>
      <c r="AB21" s="73"/>
      <c r="AC21" s="73"/>
      <c r="AD21" s="73"/>
    </row>
    <row r="22" spans="1:30" ht="19.5" customHeight="1" x14ac:dyDescent="0.25">
      <c r="A22" s="373"/>
      <c r="B22" s="369"/>
      <c r="C22" s="94" t="s">
        <v>231</v>
      </c>
      <c r="D22" s="75"/>
      <c r="E22" s="401" t="e">
        <f>J16-L18</f>
        <v>#DIV/0!</v>
      </c>
      <c r="F22" s="401"/>
      <c r="G22" s="401"/>
      <c r="H22" s="401"/>
      <c r="I22" s="107"/>
      <c r="J22" s="402" t="e">
        <f>((E16-J18)*E14)/E12</f>
        <v>#DIV/0!</v>
      </c>
      <c r="K22" s="403"/>
      <c r="L22" s="404"/>
      <c r="M22" s="107"/>
      <c r="N22" s="128">
        <f>costes0!C5*costes0!C6</f>
        <v>10137.6</v>
      </c>
      <c r="O22" s="369"/>
      <c r="P22" s="373"/>
      <c r="Q22" s="129" t="e">
        <f>IF(J22+1&lt;N22,"Menor que REF.","Mayor que REF.")</f>
        <v>#DIV/0!</v>
      </c>
      <c r="R22" s="77"/>
      <c r="S22" s="381" t="s">
        <v>232</v>
      </c>
      <c r="T22" s="381"/>
      <c r="U22" s="95"/>
      <c r="V22" s="130" t="str">
        <f>IF(E24=0," NO PROCEDE",(((E16-J18)*E14)+(J18*L14))/(J28*E12))</f>
        <v xml:space="preserve"> NO PROCEDE</v>
      </c>
      <c r="W22" s="79"/>
      <c r="X22" s="72"/>
      <c r="Y22" s="73"/>
      <c r="Z22" s="73"/>
      <c r="AA22" s="73"/>
      <c r="AB22" s="73"/>
      <c r="AC22" s="73"/>
      <c r="AD22" s="73"/>
    </row>
    <row r="23" spans="1:30" ht="3" customHeight="1" x14ac:dyDescent="0.25">
      <c r="A23" s="373"/>
      <c r="B23" s="369"/>
      <c r="C23" s="75"/>
      <c r="D23" s="75"/>
      <c r="E23" s="80"/>
      <c r="F23" s="75"/>
      <c r="G23" s="75"/>
      <c r="H23" s="116"/>
      <c r="I23" s="107"/>
      <c r="J23" s="116"/>
      <c r="K23" s="91"/>
      <c r="L23" s="120"/>
      <c r="M23" s="107"/>
      <c r="N23" s="80"/>
      <c r="O23" s="369"/>
      <c r="P23" s="373"/>
      <c r="Q23" s="77"/>
      <c r="R23" s="77"/>
      <c r="S23" s="378"/>
      <c r="T23" s="378"/>
      <c r="U23" s="378"/>
      <c r="V23" s="378"/>
      <c r="W23" s="79"/>
      <c r="X23" s="72"/>
      <c r="Y23" s="73"/>
      <c r="Z23" s="73"/>
      <c r="AA23" s="73"/>
      <c r="AB23" s="73"/>
      <c r="AC23" s="73"/>
      <c r="AD23" s="73"/>
    </row>
    <row r="24" spans="1:30" ht="19.5" customHeight="1" x14ac:dyDescent="0.25">
      <c r="A24" s="373"/>
      <c r="B24" s="369"/>
      <c r="C24" s="94" t="s">
        <v>233</v>
      </c>
      <c r="D24" s="75"/>
      <c r="E24" s="376"/>
      <c r="F24" s="376"/>
      <c r="G24" s="376"/>
      <c r="H24" s="376"/>
      <c r="I24" s="107"/>
      <c r="J24" s="377" t="str">
        <f>IF(E24=0,"No Procede",E24)</f>
        <v>No Procede</v>
      </c>
      <c r="K24" s="377"/>
      <c r="L24" s="377"/>
      <c r="M24" s="107"/>
      <c r="N24" s="131">
        <f>costes0!C23</f>
        <v>0.35</v>
      </c>
      <c r="O24" s="369"/>
      <c r="P24" s="373"/>
      <c r="Q24" s="77"/>
      <c r="R24" s="77"/>
      <c r="S24" s="381" t="s">
        <v>234</v>
      </c>
      <c r="T24" s="381"/>
      <c r="U24" s="95"/>
      <c r="V24" s="130" t="str">
        <f>IF(E24=0," NO PROCEDE",V8/(J28*E12))</f>
        <v xml:space="preserve"> NO PROCEDE</v>
      </c>
      <c r="W24" s="132"/>
      <c r="X24" s="72"/>
      <c r="Y24" s="73"/>
      <c r="Z24" s="73"/>
      <c r="AA24" s="73"/>
      <c r="AB24" s="73"/>
      <c r="AC24" s="73"/>
      <c r="AD24" s="73"/>
    </row>
    <row r="25" spans="1:30" ht="3" customHeight="1" x14ac:dyDescent="0.25">
      <c r="A25" s="373"/>
      <c r="B25" s="369"/>
      <c r="C25" s="80"/>
      <c r="D25" s="75"/>
      <c r="E25" s="75"/>
      <c r="F25" s="75"/>
      <c r="G25" s="75"/>
      <c r="H25" s="116"/>
      <c r="I25" s="107"/>
      <c r="J25" s="133"/>
      <c r="K25" s="134"/>
      <c r="L25" s="135"/>
      <c r="M25" s="107"/>
      <c r="N25" s="80"/>
      <c r="O25" s="369"/>
      <c r="P25" s="373"/>
      <c r="Q25" s="77"/>
      <c r="R25" s="77"/>
      <c r="S25" s="378"/>
      <c r="T25" s="378"/>
      <c r="U25" s="378"/>
      <c r="V25" s="378"/>
      <c r="W25" s="132"/>
      <c r="X25" s="72"/>
      <c r="Y25" s="73"/>
      <c r="Z25" s="73"/>
      <c r="AA25" s="73"/>
      <c r="AB25" s="73"/>
      <c r="AC25" s="73"/>
      <c r="AD25" s="73"/>
    </row>
    <row r="26" spans="1:30" ht="19.5" customHeight="1" x14ac:dyDescent="0.25">
      <c r="A26" s="373"/>
      <c r="B26" s="369"/>
      <c r="C26" s="391" t="s">
        <v>235</v>
      </c>
      <c r="D26" s="75"/>
      <c r="E26" s="394"/>
      <c r="F26" s="394"/>
      <c r="G26" s="394"/>
      <c r="H26" s="394"/>
      <c r="I26" s="136"/>
      <c r="J26" s="395">
        <f>IF(E24&gt;0,E26/E12,0)</f>
        <v>0</v>
      </c>
      <c r="K26" s="395"/>
      <c r="L26" s="395"/>
      <c r="M26" s="107"/>
      <c r="N26" s="117">
        <f>costes0!D22</f>
        <v>1697.5</v>
      </c>
      <c r="O26" s="369"/>
      <c r="P26" s="373"/>
      <c r="Q26" s="77"/>
      <c r="R26" s="77"/>
      <c r="S26" s="396"/>
      <c r="T26" s="397"/>
      <c r="U26" s="397"/>
      <c r="V26" s="397"/>
      <c r="W26" s="132"/>
      <c r="X26" s="132"/>
      <c r="Y26" s="73"/>
      <c r="Z26" s="73"/>
      <c r="AA26" s="73"/>
      <c r="AB26" s="73"/>
      <c r="AC26" s="73"/>
      <c r="AD26" s="73"/>
    </row>
    <row r="27" spans="1:30" ht="3" customHeight="1" x14ac:dyDescent="0.25">
      <c r="A27" s="373"/>
      <c r="B27" s="369"/>
      <c r="C27" s="391"/>
      <c r="D27" s="75"/>
      <c r="E27" s="394"/>
      <c r="F27" s="394"/>
      <c r="G27" s="394"/>
      <c r="H27" s="394"/>
      <c r="I27" s="107"/>
      <c r="J27" s="80"/>
      <c r="K27" s="91"/>
      <c r="L27" s="119"/>
      <c r="M27" s="107"/>
      <c r="N27" s="80"/>
      <c r="O27" s="369"/>
      <c r="P27" s="373"/>
      <c r="Q27" s="77"/>
      <c r="R27" s="77"/>
      <c r="S27" s="137"/>
      <c r="T27" s="137"/>
      <c r="U27" s="137"/>
      <c r="V27" s="137"/>
      <c r="W27" s="79"/>
      <c r="X27" s="137"/>
      <c r="Y27" s="73"/>
      <c r="Z27" s="73"/>
      <c r="AA27" s="73"/>
      <c r="AB27" s="73"/>
      <c r="AC27" s="73"/>
      <c r="AD27" s="73"/>
    </row>
    <row r="28" spans="1:30" ht="19.5" customHeight="1" x14ac:dyDescent="0.25">
      <c r="A28" s="373"/>
      <c r="B28" s="369"/>
      <c r="C28" s="391"/>
      <c r="D28" s="75"/>
      <c r="E28" s="394"/>
      <c r="F28" s="394"/>
      <c r="G28" s="394"/>
      <c r="H28" s="394"/>
      <c r="I28" s="107"/>
      <c r="J28" s="398" t="str">
        <f>IF(E24&gt;0,(E26/E12)/E24,"No Procede")</f>
        <v>No Procede</v>
      </c>
      <c r="K28" s="399"/>
      <c r="L28" s="400"/>
      <c r="M28" s="107"/>
      <c r="N28" s="138" t="str">
        <f>CONCATENATE("Agua"," ",costes0!C22," ","m3/ha")</f>
        <v>Agua 4850 m3/ha</v>
      </c>
      <c r="O28" s="369"/>
      <c r="P28" s="373"/>
      <c r="Q28" s="129" t="s">
        <v>274</v>
      </c>
      <c r="R28" s="77"/>
      <c r="S28" s="139"/>
      <c r="T28" s="137"/>
      <c r="U28" s="137"/>
      <c r="V28" s="137"/>
      <c r="W28" s="137"/>
      <c r="X28" s="137"/>
      <c r="Y28" s="73"/>
      <c r="Z28" s="73"/>
      <c r="AA28" s="73"/>
      <c r="AB28" s="73"/>
      <c r="AC28" s="73"/>
      <c r="AD28" s="73"/>
    </row>
    <row r="29" spans="1:30" ht="3" customHeight="1" x14ac:dyDescent="0.25">
      <c r="A29" s="373"/>
      <c r="B29" s="369"/>
      <c r="C29" s="80"/>
      <c r="D29" s="75"/>
      <c r="E29" s="80"/>
      <c r="F29" s="75"/>
      <c r="G29" s="80"/>
      <c r="H29" s="116"/>
      <c r="I29" s="107"/>
      <c r="J29" s="116"/>
      <c r="K29" s="91"/>
      <c r="L29" s="116"/>
      <c r="M29" s="107"/>
      <c r="N29" s="80"/>
      <c r="O29" s="369"/>
      <c r="P29" s="373"/>
      <c r="Q29" s="77"/>
      <c r="R29" s="77"/>
      <c r="S29" s="137"/>
      <c r="T29" s="137"/>
      <c r="U29" s="137"/>
      <c r="V29" s="137"/>
      <c r="W29" s="137"/>
      <c r="X29" s="137"/>
      <c r="Y29" s="73"/>
      <c r="Z29" s="73"/>
      <c r="AA29" s="73"/>
      <c r="AB29" s="73"/>
      <c r="AC29" s="73"/>
      <c r="AD29" s="73"/>
    </row>
    <row r="30" spans="1:30" ht="20.25" customHeight="1" x14ac:dyDescent="0.25">
      <c r="A30" s="373"/>
      <c r="B30" s="369"/>
      <c r="C30" s="140" t="s">
        <v>236</v>
      </c>
      <c r="D30" s="75"/>
      <c r="E30" s="406">
        <f>V32+V34+V36+V38+V40+V42+V44+V46+V48</f>
        <v>0</v>
      </c>
      <c r="F30" s="406"/>
      <c r="G30" s="406"/>
      <c r="H30" s="406"/>
      <c r="I30" s="107"/>
      <c r="J30" s="407" t="e">
        <f>J32+J34+J36+J38+J40+J42+J44+J46+J48</f>
        <v>#DIV/0!</v>
      </c>
      <c r="K30" s="407"/>
      <c r="L30" s="407"/>
      <c r="M30" s="107"/>
      <c r="N30" s="141">
        <f>N32+N34+N36+N38+N40+N42+N44+N46+N48</f>
        <v>870.31197524999982</v>
      </c>
      <c r="O30" s="369"/>
      <c r="P30" s="373"/>
      <c r="Q30" s="137"/>
      <c r="R30" s="137"/>
      <c r="S30" s="137"/>
      <c r="T30" s="142" t="s">
        <v>236</v>
      </c>
      <c r="U30" s="137"/>
      <c r="V30" s="143">
        <f>E30</f>
        <v>0</v>
      </c>
      <c r="W30" s="137"/>
      <c r="X30" s="137"/>
      <c r="Y30" s="73"/>
      <c r="Z30" s="73"/>
      <c r="AA30" s="73"/>
      <c r="AB30" s="73"/>
      <c r="AC30" s="73"/>
      <c r="AD30" s="73"/>
    </row>
    <row r="31" spans="1:30" ht="3" customHeight="1" x14ac:dyDescent="0.25">
      <c r="A31" s="373"/>
      <c r="B31" s="369"/>
      <c r="C31" s="80"/>
      <c r="D31" s="75"/>
      <c r="E31" s="80"/>
      <c r="F31" s="80"/>
      <c r="G31" s="80"/>
      <c r="H31" s="116"/>
      <c r="I31" s="107"/>
      <c r="J31" s="116"/>
      <c r="K31" s="91"/>
      <c r="L31" s="116"/>
      <c r="M31" s="107"/>
      <c r="N31" s="80"/>
      <c r="O31" s="369"/>
      <c r="P31" s="373"/>
      <c r="Q31" s="137"/>
      <c r="R31" s="137"/>
      <c r="S31" s="137"/>
      <c r="T31" s="137"/>
      <c r="U31" s="137"/>
      <c r="V31" s="137"/>
      <c r="W31" s="137"/>
      <c r="X31" s="137"/>
      <c r="Y31" s="73"/>
      <c r="Z31" s="73"/>
      <c r="AA31" s="73"/>
      <c r="AB31" s="73"/>
      <c r="AC31" s="73"/>
      <c r="AD31" s="73"/>
    </row>
    <row r="32" spans="1:30" ht="19.5" customHeight="1" x14ac:dyDescent="0.25">
      <c r="A32" s="373"/>
      <c r="B32" s="369"/>
      <c r="C32" s="94" t="s">
        <v>237</v>
      </c>
      <c r="D32" s="75"/>
      <c r="E32" s="144" t="s">
        <v>211</v>
      </c>
      <c r="F32" s="75"/>
      <c r="G32" s="405"/>
      <c r="H32" s="405"/>
      <c r="I32" s="107"/>
      <c r="J32" s="395" t="e">
        <f>IF(E32="Si",G32/E12,0)</f>
        <v>#DIV/0!</v>
      </c>
      <c r="K32" s="395"/>
      <c r="L32" s="395"/>
      <c r="M32" s="107"/>
      <c r="N32" s="117">
        <f>Inversión!I3</f>
        <v>92.567999999999998</v>
      </c>
      <c r="O32" s="369"/>
      <c r="P32" s="373"/>
      <c r="Q32" s="129" t="e">
        <f>IF(J32+1&lt;N32,"Menor que REF.","Mayor que REF.")</f>
        <v>#DIV/0!</v>
      </c>
      <c r="R32" s="137"/>
      <c r="S32" s="137"/>
      <c r="T32" s="145" t="s">
        <v>237</v>
      </c>
      <c r="U32" s="137"/>
      <c r="V32" s="146">
        <f>IF(E32="SI",G32,0)</f>
        <v>0</v>
      </c>
      <c r="W32" s="137"/>
      <c r="X32" s="137"/>
      <c r="Y32" s="73"/>
      <c r="Z32" s="73"/>
      <c r="AA32" s="73"/>
      <c r="AB32" s="73"/>
      <c r="AC32" s="73"/>
      <c r="AD32" s="73"/>
    </row>
    <row r="33" spans="1:30" ht="3" customHeight="1" x14ac:dyDescent="0.25">
      <c r="A33" s="373"/>
      <c r="B33" s="369"/>
      <c r="C33" s="80"/>
      <c r="D33" s="75"/>
      <c r="E33" s="80"/>
      <c r="F33" s="75"/>
      <c r="G33" s="75"/>
      <c r="H33" s="116"/>
      <c r="I33" s="107"/>
      <c r="J33" s="147"/>
      <c r="K33" s="91"/>
      <c r="L33" s="120"/>
      <c r="M33" s="107"/>
      <c r="N33" s="80"/>
      <c r="O33" s="369"/>
      <c r="P33" s="373"/>
      <c r="Q33" s="148"/>
      <c r="R33" s="137"/>
      <c r="S33" s="137"/>
      <c r="T33" s="95"/>
      <c r="U33" s="137"/>
      <c r="V33" s="149"/>
      <c r="W33" s="137"/>
      <c r="X33" s="137"/>
      <c r="Y33" s="73"/>
      <c r="Z33" s="73"/>
      <c r="AA33" s="73"/>
      <c r="AB33" s="73"/>
      <c r="AC33" s="73"/>
      <c r="AD33" s="73"/>
    </row>
    <row r="34" spans="1:30" ht="19.5" customHeight="1" x14ac:dyDescent="0.25">
      <c r="A34" s="373"/>
      <c r="B34" s="369"/>
      <c r="C34" s="94" t="s">
        <v>238</v>
      </c>
      <c r="D34" s="75"/>
      <c r="E34" s="144" t="s">
        <v>211</v>
      </c>
      <c r="F34" s="75"/>
      <c r="G34" s="405"/>
      <c r="H34" s="405"/>
      <c r="I34" s="107"/>
      <c r="J34" s="395" t="e">
        <f>IF(E34="Si",G34/E12,0)</f>
        <v>#DIV/0!</v>
      </c>
      <c r="K34" s="395"/>
      <c r="L34" s="395"/>
      <c r="M34" s="107"/>
      <c r="N34" s="117">
        <f>Inversión!I4</f>
        <v>177.625</v>
      </c>
      <c r="O34" s="369"/>
      <c r="P34" s="373"/>
      <c r="Q34" s="129" t="e">
        <f>IF(J34+1&lt;N34,"Menor que REF.","Mayor que REF.")</f>
        <v>#DIV/0!</v>
      </c>
      <c r="R34" s="137"/>
      <c r="S34" s="137"/>
      <c r="T34" s="145" t="s">
        <v>238</v>
      </c>
      <c r="U34" s="137"/>
      <c r="V34" s="146">
        <f>IF(E34="SI",G34,0)</f>
        <v>0</v>
      </c>
      <c r="W34" s="137"/>
      <c r="X34" s="137"/>
      <c r="Y34" s="73"/>
      <c r="Z34" s="73"/>
      <c r="AA34" s="73"/>
      <c r="AB34" s="73"/>
      <c r="AC34" s="73"/>
      <c r="AD34" s="73"/>
    </row>
    <row r="35" spans="1:30" ht="3" customHeight="1" x14ac:dyDescent="0.25">
      <c r="A35" s="373"/>
      <c r="B35" s="369"/>
      <c r="C35" s="80"/>
      <c r="D35" s="75"/>
      <c r="E35" s="80"/>
      <c r="F35" s="75"/>
      <c r="G35" s="75"/>
      <c r="H35" s="116"/>
      <c r="I35" s="107"/>
      <c r="J35" s="147"/>
      <c r="K35" s="91"/>
      <c r="L35" s="120"/>
      <c r="M35" s="107"/>
      <c r="N35" s="80"/>
      <c r="O35" s="369"/>
      <c r="P35" s="373"/>
      <c r="Q35" s="148"/>
      <c r="R35" s="137"/>
      <c r="S35" s="137"/>
      <c r="T35" s="95"/>
      <c r="U35" s="137"/>
      <c r="V35" s="149"/>
      <c r="W35" s="137"/>
      <c r="X35" s="137"/>
      <c r="Y35" s="73"/>
      <c r="Z35" s="73"/>
      <c r="AA35" s="73"/>
      <c r="AB35" s="73"/>
      <c r="AC35" s="73"/>
      <c r="AD35" s="73"/>
    </row>
    <row r="36" spans="1:30" ht="19.5" customHeight="1" x14ac:dyDescent="0.25">
      <c r="A36" s="373"/>
      <c r="B36" s="369"/>
      <c r="C36" s="94" t="s">
        <v>239</v>
      </c>
      <c r="D36" s="75"/>
      <c r="E36" s="144" t="s">
        <v>211</v>
      </c>
      <c r="F36" s="75"/>
      <c r="G36" s="405"/>
      <c r="H36" s="405"/>
      <c r="I36" s="107"/>
      <c r="J36" s="395" t="e">
        <f>IF(E36="Si",G36/E12,0)</f>
        <v>#DIV/0!</v>
      </c>
      <c r="K36" s="395"/>
      <c r="L36" s="395"/>
      <c r="M36" s="107"/>
      <c r="N36" s="117">
        <f>Inversión!I5</f>
        <v>148.29999999999998</v>
      </c>
      <c r="O36" s="369"/>
      <c r="P36" s="373"/>
      <c r="Q36" s="129" t="e">
        <f>IF(J36+1&lt;N36,"Menor que REF.","Mayor que REF.")</f>
        <v>#DIV/0!</v>
      </c>
      <c r="R36" s="137"/>
      <c r="S36" s="137"/>
      <c r="T36" s="145" t="s">
        <v>239</v>
      </c>
      <c r="U36" s="137"/>
      <c r="V36" s="146">
        <f>IF(E36="SI",G36,0)</f>
        <v>0</v>
      </c>
      <c r="W36" s="137"/>
      <c r="X36" s="137"/>
      <c r="Y36" s="150"/>
      <c r="Z36" s="73"/>
      <c r="AA36" s="73"/>
      <c r="AB36" s="73"/>
      <c r="AC36" s="73"/>
      <c r="AD36" s="73"/>
    </row>
    <row r="37" spans="1:30" ht="3" customHeight="1" x14ac:dyDescent="0.25">
      <c r="A37" s="373"/>
      <c r="B37" s="369"/>
      <c r="C37" s="80"/>
      <c r="D37" s="75"/>
      <c r="E37" s="80"/>
      <c r="F37" s="75"/>
      <c r="G37" s="75"/>
      <c r="H37" s="116"/>
      <c r="I37" s="107"/>
      <c r="J37" s="147"/>
      <c r="K37" s="91"/>
      <c r="L37" s="120"/>
      <c r="M37" s="107"/>
      <c r="N37" s="80"/>
      <c r="O37" s="369"/>
      <c r="P37" s="373"/>
      <c r="Q37" s="148"/>
      <c r="R37" s="137"/>
      <c r="S37" s="137"/>
      <c r="T37" s="95"/>
      <c r="U37" s="137"/>
      <c r="V37" s="149"/>
      <c r="W37" s="137"/>
      <c r="X37" s="137"/>
      <c r="Y37" s="73"/>
      <c r="Z37" s="73"/>
      <c r="AA37" s="73"/>
      <c r="AB37" s="73"/>
      <c r="AC37" s="73"/>
      <c r="AD37" s="73"/>
    </row>
    <row r="38" spans="1:30" ht="19.5" customHeight="1" x14ac:dyDescent="0.25">
      <c r="A38" s="373"/>
      <c r="B38" s="369"/>
      <c r="C38" s="151" t="s">
        <v>276</v>
      </c>
      <c r="D38" s="75"/>
      <c r="E38" s="144" t="s">
        <v>211</v>
      </c>
      <c r="F38" s="75"/>
      <c r="G38" s="405"/>
      <c r="H38" s="405"/>
      <c r="I38" s="107"/>
      <c r="J38" s="395" t="e">
        <f>IF(E38="Si",G38/E12,0)</f>
        <v>#DIV/0!</v>
      </c>
      <c r="K38" s="395"/>
      <c r="L38" s="395"/>
      <c r="M38" s="107"/>
      <c r="N38" s="117">
        <f>Inversión!I6</f>
        <v>177.05</v>
      </c>
      <c r="O38" s="369"/>
      <c r="P38" s="373"/>
      <c r="Q38" s="129" t="e">
        <f>IF(J38+1&lt;N38,"Menor que REF.","Mayor que REF.")</f>
        <v>#DIV/0!</v>
      </c>
      <c r="R38" s="137"/>
      <c r="S38" s="137"/>
      <c r="T38" s="152" t="str">
        <f>C38</f>
        <v>Preparación y plantación pomelos injertados</v>
      </c>
      <c r="U38" s="137"/>
      <c r="V38" s="146">
        <f>IF(E38="SI",G38,0)</f>
        <v>0</v>
      </c>
      <c r="W38" s="137"/>
      <c r="X38" s="137"/>
      <c r="Y38" s="73"/>
      <c r="Z38" s="73"/>
      <c r="AA38" s="73"/>
      <c r="AB38" s="73"/>
      <c r="AC38" s="73"/>
      <c r="AD38" s="73"/>
    </row>
    <row r="39" spans="1:30" ht="3" customHeight="1" x14ac:dyDescent="0.25">
      <c r="A39" s="373"/>
      <c r="B39" s="369"/>
      <c r="C39" s="80"/>
      <c r="D39" s="75"/>
      <c r="E39" s="80"/>
      <c r="F39" s="75"/>
      <c r="G39" s="75"/>
      <c r="H39" s="116"/>
      <c r="I39" s="107"/>
      <c r="J39" s="147"/>
      <c r="K39" s="91"/>
      <c r="L39" s="120"/>
      <c r="M39" s="107"/>
      <c r="N39" s="80"/>
      <c r="O39" s="369"/>
      <c r="P39" s="373"/>
      <c r="Q39" s="148"/>
      <c r="R39" s="137"/>
      <c r="S39" s="137"/>
      <c r="T39" s="95"/>
      <c r="U39" s="137"/>
      <c r="V39" s="149"/>
      <c r="W39" s="137"/>
      <c r="X39" s="137"/>
      <c r="Y39" s="73"/>
      <c r="Z39" s="73"/>
      <c r="AA39" s="73"/>
      <c r="AB39" s="73"/>
      <c r="AC39" s="73"/>
      <c r="AD39" s="73"/>
    </row>
    <row r="40" spans="1:30" ht="19.5" customHeight="1" x14ac:dyDescent="0.25">
      <c r="A40" s="373"/>
      <c r="B40" s="369"/>
      <c r="C40" s="151" t="s">
        <v>240</v>
      </c>
      <c r="D40" s="75"/>
      <c r="E40" s="144" t="s">
        <v>211</v>
      </c>
      <c r="F40" s="75"/>
      <c r="G40" s="405"/>
      <c r="H40" s="405"/>
      <c r="I40" s="107"/>
      <c r="J40" s="395" t="e">
        <f>IF(E40="Si",G40/E12,0)</f>
        <v>#DIV/0!</v>
      </c>
      <c r="K40" s="395"/>
      <c r="L40" s="395"/>
      <c r="M40" s="107"/>
      <c r="N40" s="117">
        <f>Inversión!I7</f>
        <v>20.3</v>
      </c>
      <c r="O40" s="369"/>
      <c r="P40" s="373"/>
      <c r="Q40" s="129" t="e">
        <f>IF(J40+1&lt;N40,"Menor que REF.","Mayor que REF.")</f>
        <v>#DIV/0!</v>
      </c>
      <c r="R40" s="137"/>
      <c r="S40" s="137"/>
      <c r="T40" s="152" t="s">
        <v>240</v>
      </c>
      <c r="U40" s="137"/>
      <c r="V40" s="146">
        <f>IF(E40="SI",G40,0)</f>
        <v>0</v>
      </c>
      <c r="W40" s="137"/>
      <c r="X40" s="137"/>
      <c r="Y40" s="73"/>
      <c r="Z40" s="73"/>
      <c r="AA40" s="73"/>
      <c r="AB40" s="73"/>
      <c r="AC40" s="73"/>
      <c r="AD40" s="73"/>
    </row>
    <row r="41" spans="1:30" ht="3" customHeight="1" x14ac:dyDescent="0.25">
      <c r="A41" s="373"/>
      <c r="B41" s="369"/>
      <c r="C41" s="97"/>
      <c r="D41" s="75"/>
      <c r="E41" s="107"/>
      <c r="F41" s="75"/>
      <c r="G41" s="75"/>
      <c r="H41" s="153"/>
      <c r="I41" s="107"/>
      <c r="J41" s="154"/>
      <c r="K41" s="91"/>
      <c r="L41" s="155"/>
      <c r="M41" s="107"/>
      <c r="N41" s="153"/>
      <c r="O41" s="369"/>
      <c r="P41" s="373"/>
      <c r="Q41" s="148"/>
      <c r="R41" s="137"/>
      <c r="S41" s="137"/>
      <c r="T41" s="156"/>
      <c r="U41" s="137"/>
      <c r="V41" s="149"/>
      <c r="W41" s="137"/>
      <c r="X41" s="137"/>
      <c r="Y41" s="73"/>
      <c r="Z41" s="73"/>
      <c r="AA41" s="73"/>
      <c r="AB41" s="73"/>
      <c r="AC41" s="73"/>
      <c r="AD41" s="73"/>
    </row>
    <row r="42" spans="1:30" ht="19.5" customHeight="1" x14ac:dyDescent="0.25">
      <c r="A42" s="373"/>
      <c r="B42" s="369"/>
      <c r="C42" s="94" t="s">
        <v>241</v>
      </c>
      <c r="D42" s="75"/>
      <c r="E42" s="144" t="s">
        <v>211</v>
      </c>
      <c r="F42" s="75"/>
      <c r="G42" s="405"/>
      <c r="H42" s="405"/>
      <c r="I42" s="107"/>
      <c r="J42" s="395" t="e">
        <f>IF(E42="Si",G42/E12,0)</f>
        <v>#DIV/0!</v>
      </c>
      <c r="K42" s="395"/>
      <c r="L42" s="395"/>
      <c r="M42" s="107"/>
      <c r="N42" s="117">
        <f>Inversión!I8</f>
        <v>86.993975250000005</v>
      </c>
      <c r="O42" s="369"/>
      <c r="P42" s="373"/>
      <c r="Q42" s="129" t="e">
        <f>IF(J42+1&lt;N42,"Menor que REF.","Mayor que REF.")</f>
        <v>#DIV/0!</v>
      </c>
      <c r="R42" s="137"/>
      <c r="S42" s="137"/>
      <c r="T42" s="145" t="s">
        <v>241</v>
      </c>
      <c r="U42" s="137"/>
      <c r="V42" s="146">
        <f>IF(E42="SI",G42,0)</f>
        <v>0</v>
      </c>
      <c r="W42" s="137"/>
      <c r="X42" s="137"/>
      <c r="Y42" s="73"/>
      <c r="Z42" s="73"/>
      <c r="AA42" s="73"/>
      <c r="AB42" s="73"/>
      <c r="AC42" s="73"/>
      <c r="AD42" s="73"/>
    </row>
    <row r="43" spans="1:30" ht="3" customHeight="1" x14ac:dyDescent="0.25">
      <c r="A43" s="373"/>
      <c r="B43" s="369"/>
      <c r="C43" s="97"/>
      <c r="D43" s="75"/>
      <c r="E43" s="107"/>
      <c r="F43" s="75"/>
      <c r="G43" s="75"/>
      <c r="H43" s="153"/>
      <c r="I43" s="107"/>
      <c r="J43" s="153"/>
      <c r="K43" s="91"/>
      <c r="L43" s="157"/>
      <c r="M43" s="107"/>
      <c r="N43" s="153"/>
      <c r="O43" s="369"/>
      <c r="P43" s="373"/>
      <c r="Q43" s="148"/>
      <c r="R43" s="137"/>
      <c r="S43" s="137"/>
      <c r="T43" s="156"/>
      <c r="U43" s="137"/>
      <c r="V43" s="149"/>
      <c r="W43" s="137"/>
      <c r="X43" s="137"/>
      <c r="Y43" s="73"/>
      <c r="Z43" s="73"/>
      <c r="AA43" s="73"/>
      <c r="AB43" s="73"/>
      <c r="AC43" s="73"/>
      <c r="AD43" s="73"/>
    </row>
    <row r="44" spans="1:30" ht="19.5" customHeight="1" x14ac:dyDescent="0.25">
      <c r="A44" s="373"/>
      <c r="B44" s="369"/>
      <c r="C44" s="94" t="s">
        <v>242</v>
      </c>
      <c r="D44" s="75"/>
      <c r="E44" s="144" t="s">
        <v>211</v>
      </c>
      <c r="F44" s="75"/>
      <c r="G44" s="405"/>
      <c r="H44" s="405"/>
      <c r="I44" s="107"/>
      <c r="J44" s="395" t="e">
        <f>IF(E44="Si",G44/E12,0)</f>
        <v>#DIV/0!</v>
      </c>
      <c r="K44" s="395"/>
      <c r="L44" s="395"/>
      <c r="M44" s="107"/>
      <c r="N44" s="117">
        <f>Inversión!I9</f>
        <v>167.47499999999999</v>
      </c>
      <c r="O44" s="369"/>
      <c r="P44" s="373"/>
      <c r="Q44" s="129" t="e">
        <f>IF(J44+1&lt;N44,"Menor que REF.","Mayor que REF.")</f>
        <v>#DIV/0!</v>
      </c>
      <c r="R44" s="137"/>
      <c r="S44" s="137"/>
      <c r="T44" s="145" t="s">
        <v>242</v>
      </c>
      <c r="U44" s="137"/>
      <c r="V44" s="146">
        <f>IF(E44="SI",G44,0)</f>
        <v>0</v>
      </c>
      <c r="W44" s="137"/>
      <c r="X44" s="137"/>
      <c r="Y44" s="73"/>
      <c r="Z44" s="73"/>
      <c r="AA44" s="73"/>
      <c r="AB44" s="73"/>
      <c r="AC44" s="73"/>
      <c r="AD44" s="73"/>
    </row>
    <row r="45" spans="1:30" ht="3" customHeight="1" x14ac:dyDescent="0.25">
      <c r="A45" s="158"/>
      <c r="B45" s="75"/>
      <c r="C45" s="97"/>
      <c r="D45" s="75"/>
      <c r="E45" s="107"/>
      <c r="F45" s="75"/>
      <c r="G45" s="75"/>
      <c r="H45" s="153"/>
      <c r="I45" s="136"/>
      <c r="J45" s="154"/>
      <c r="K45" s="91"/>
      <c r="L45" s="154"/>
      <c r="M45" s="107"/>
      <c r="N45" s="153"/>
      <c r="O45" s="75"/>
      <c r="P45" s="158"/>
      <c r="Q45" s="137"/>
      <c r="R45" s="137"/>
      <c r="S45" s="137"/>
      <c r="T45" s="156"/>
      <c r="U45" s="137"/>
      <c r="V45" s="149"/>
      <c r="W45" s="137"/>
      <c r="X45" s="137"/>
      <c r="Y45" s="73"/>
      <c r="Z45" s="73"/>
      <c r="AA45" s="73"/>
      <c r="AB45" s="73"/>
      <c r="AC45" s="73"/>
      <c r="AD45" s="73"/>
    </row>
    <row r="46" spans="1:30" ht="19.5" customHeight="1" x14ac:dyDescent="0.25">
      <c r="A46" s="373"/>
      <c r="B46" s="369"/>
      <c r="C46" s="159" t="s">
        <v>243</v>
      </c>
      <c r="D46" s="369"/>
      <c r="E46" s="144" t="s">
        <v>212</v>
      </c>
      <c r="F46" s="369"/>
      <c r="G46" s="408"/>
      <c r="H46" s="409"/>
      <c r="I46" s="136"/>
      <c r="J46" s="395">
        <f>IF(E46="Si",G46/E12,0)</f>
        <v>0</v>
      </c>
      <c r="K46" s="395"/>
      <c r="L46" s="395"/>
      <c r="M46" s="107"/>
      <c r="N46" s="410"/>
      <c r="O46" s="369"/>
      <c r="P46" s="373"/>
      <c r="Q46" s="137"/>
      <c r="R46" s="137"/>
      <c r="S46" s="137"/>
      <c r="T46" s="145" t="str">
        <f>C46</f>
        <v>OTROS 1</v>
      </c>
      <c r="U46" s="137"/>
      <c r="V46" s="146">
        <f>IF(E46="SI",G46,0)</f>
        <v>0</v>
      </c>
      <c r="W46" s="137"/>
      <c r="X46" s="137"/>
      <c r="Y46" s="73"/>
      <c r="Z46" s="73"/>
      <c r="AA46" s="73"/>
      <c r="AB46" s="73"/>
      <c r="AC46" s="73"/>
      <c r="AD46" s="73"/>
    </row>
    <row r="47" spans="1:30" ht="3" customHeight="1" x14ac:dyDescent="0.25">
      <c r="A47" s="373"/>
      <c r="B47" s="369"/>
      <c r="C47" s="80"/>
      <c r="D47" s="369"/>
      <c r="E47" s="80"/>
      <c r="F47" s="369"/>
      <c r="G47" s="75"/>
      <c r="H47" s="116"/>
      <c r="I47" s="136"/>
      <c r="J47" s="116"/>
      <c r="K47" s="91"/>
      <c r="L47" s="116"/>
      <c r="M47" s="107"/>
      <c r="N47" s="410"/>
      <c r="O47" s="369"/>
      <c r="P47" s="373"/>
      <c r="Q47" s="137"/>
      <c r="R47" s="137"/>
      <c r="S47" s="137"/>
      <c r="T47" s="95"/>
      <c r="U47" s="137"/>
      <c r="V47" s="149"/>
      <c r="W47" s="137"/>
      <c r="X47" s="137"/>
      <c r="Y47" s="73"/>
      <c r="Z47" s="73"/>
      <c r="AA47" s="73"/>
      <c r="AB47" s="73"/>
      <c r="AC47" s="73"/>
      <c r="AD47" s="73"/>
    </row>
    <row r="48" spans="1:30" ht="18" customHeight="1" x14ac:dyDescent="0.25">
      <c r="A48" s="373"/>
      <c r="B48" s="369"/>
      <c r="C48" s="159" t="s">
        <v>244</v>
      </c>
      <c r="D48" s="369"/>
      <c r="E48" s="144" t="s">
        <v>212</v>
      </c>
      <c r="F48" s="369"/>
      <c r="G48" s="408"/>
      <c r="H48" s="409"/>
      <c r="I48" s="136"/>
      <c r="J48" s="395">
        <f>IF(E48="Si",G48/E12,0)</f>
        <v>0</v>
      </c>
      <c r="K48" s="395"/>
      <c r="L48" s="395"/>
      <c r="M48" s="107"/>
      <c r="N48" s="410"/>
      <c r="O48" s="369"/>
      <c r="P48" s="373"/>
      <c r="Q48" s="137"/>
      <c r="R48" s="137"/>
      <c r="S48" s="137"/>
      <c r="T48" s="160" t="str">
        <f>C48</f>
        <v>OTROS 2</v>
      </c>
      <c r="U48" s="137"/>
      <c r="V48" s="161">
        <f>IF(E48="SI",G48,0)</f>
        <v>0</v>
      </c>
      <c r="W48" s="137"/>
      <c r="X48" s="137"/>
      <c r="Y48" s="73"/>
      <c r="Z48" s="73"/>
      <c r="AA48" s="73"/>
      <c r="AB48" s="73"/>
      <c r="AC48" s="73"/>
      <c r="AD48" s="73"/>
    </row>
    <row r="49" spans="1:30" ht="3" customHeight="1" x14ac:dyDescent="0.25">
      <c r="A49" s="373"/>
      <c r="B49" s="369"/>
      <c r="C49" s="97"/>
      <c r="D49" s="369"/>
      <c r="E49" s="107"/>
      <c r="F49" s="369"/>
      <c r="G49" s="75"/>
      <c r="H49" s="153"/>
      <c r="I49" s="136"/>
      <c r="J49" s="154"/>
      <c r="K49" s="91"/>
      <c r="L49" s="154"/>
      <c r="M49" s="107"/>
      <c r="N49" s="153"/>
      <c r="O49" s="369"/>
      <c r="P49" s="373"/>
      <c r="Q49" s="137"/>
      <c r="R49" s="137"/>
      <c r="S49" s="137"/>
      <c r="T49" s="137"/>
      <c r="U49" s="137"/>
      <c r="V49" s="137"/>
      <c r="W49" s="137"/>
      <c r="X49" s="137"/>
      <c r="Y49" s="73"/>
      <c r="Z49" s="73"/>
      <c r="AA49" s="73"/>
      <c r="AB49" s="73"/>
      <c r="AC49" s="73"/>
      <c r="AD49" s="73"/>
    </row>
    <row r="50" spans="1:30" ht="3" customHeight="1" x14ac:dyDescent="0.25">
      <c r="A50" s="158"/>
      <c r="B50" s="75"/>
      <c r="C50" s="80"/>
      <c r="D50" s="75"/>
      <c r="E50" s="80"/>
      <c r="F50" s="80"/>
      <c r="G50" s="80"/>
      <c r="H50" s="116"/>
      <c r="I50" s="136"/>
      <c r="J50" s="116"/>
      <c r="K50" s="91"/>
      <c r="L50" s="116"/>
      <c r="M50" s="107"/>
      <c r="N50" s="80"/>
      <c r="O50" s="75"/>
      <c r="P50" s="158"/>
      <c r="Q50" s="137"/>
      <c r="R50" s="137"/>
      <c r="S50" s="137"/>
      <c r="T50" s="95"/>
      <c r="U50" s="137"/>
      <c r="V50" s="162"/>
      <c r="W50" s="137"/>
      <c r="X50" s="137"/>
      <c r="Y50" s="73"/>
      <c r="Z50" s="73"/>
      <c r="AA50" s="73"/>
      <c r="AB50" s="73"/>
      <c r="AC50" s="73"/>
      <c r="AD50" s="73"/>
    </row>
    <row r="51" spans="1:30" ht="19.5" customHeight="1" x14ac:dyDescent="0.25">
      <c r="A51" s="373"/>
      <c r="B51" s="369"/>
      <c r="C51" s="140" t="s">
        <v>245</v>
      </c>
      <c r="D51" s="369"/>
      <c r="E51" s="406">
        <f>V53+V55+V57+V59+V61+V63+V65+V67+V69+V71+V73+V75+V77</f>
        <v>0</v>
      </c>
      <c r="F51" s="406"/>
      <c r="G51" s="406"/>
      <c r="H51" s="406"/>
      <c r="I51" s="136"/>
      <c r="J51" s="407" t="e">
        <f>J53+J55+J57+J59+J61+J63+J65+J67+J69+J71+J73+J75+J77</f>
        <v>#DIV/0!</v>
      </c>
      <c r="K51" s="407"/>
      <c r="L51" s="407"/>
      <c r="M51" s="107"/>
      <c r="N51" s="141">
        <f>N53+N55+N57+N59+N61+N63+N65+N67+(N69)+(N71)+N73+N75+N77</f>
        <v>8693.0449374999989</v>
      </c>
      <c r="O51" s="369"/>
      <c r="P51" s="373"/>
      <c r="Q51" s="137"/>
      <c r="R51" s="137"/>
      <c r="S51" s="137"/>
      <c r="T51" s="142" t="s">
        <v>245</v>
      </c>
      <c r="U51" s="137"/>
      <c r="V51" s="143">
        <f>E51</f>
        <v>0</v>
      </c>
      <c r="W51" s="137"/>
      <c r="X51" s="137"/>
      <c r="Y51" s="73"/>
      <c r="Z51" s="73"/>
      <c r="AA51" s="73"/>
      <c r="AB51" s="73"/>
      <c r="AC51" s="73"/>
      <c r="AD51" s="73"/>
    </row>
    <row r="52" spans="1:30" ht="3" customHeight="1" x14ac:dyDescent="0.25">
      <c r="A52" s="373"/>
      <c r="B52" s="369"/>
      <c r="C52" s="80"/>
      <c r="D52" s="369"/>
      <c r="E52" s="80"/>
      <c r="F52" s="80"/>
      <c r="G52" s="80"/>
      <c r="H52" s="116"/>
      <c r="I52" s="136"/>
      <c r="J52" s="116"/>
      <c r="K52" s="91"/>
      <c r="L52" s="116"/>
      <c r="M52" s="107"/>
      <c r="N52" s="80"/>
      <c r="O52" s="369"/>
      <c r="P52" s="373"/>
      <c r="Q52" s="137"/>
      <c r="R52" s="137"/>
      <c r="S52" s="137"/>
      <c r="T52" s="137"/>
      <c r="U52" s="137"/>
      <c r="V52" s="137"/>
      <c r="W52" s="137"/>
      <c r="X52" s="137"/>
      <c r="Y52" s="73"/>
      <c r="Z52" s="73"/>
      <c r="AA52" s="73"/>
      <c r="AB52" s="73"/>
      <c r="AC52" s="73"/>
      <c r="AD52" s="73"/>
    </row>
    <row r="53" spans="1:30" ht="19.5" customHeight="1" x14ac:dyDescent="0.25">
      <c r="A53" s="373"/>
      <c r="B53" s="369"/>
      <c r="C53" s="94" t="s">
        <v>246</v>
      </c>
      <c r="D53" s="369"/>
      <c r="E53" s="144" t="s">
        <v>211</v>
      </c>
      <c r="F53" s="163"/>
      <c r="G53" s="408"/>
      <c r="H53" s="409"/>
      <c r="I53" s="136"/>
      <c r="J53" s="395" t="e">
        <f>IF(E53="Si",G53/E12,0)</f>
        <v>#DIV/0!</v>
      </c>
      <c r="K53" s="395"/>
      <c r="L53" s="395"/>
      <c r="M53" s="107"/>
      <c r="N53" s="117">
        <f>COSTES!C14</f>
        <v>950.04</v>
      </c>
      <c r="O53" s="369"/>
      <c r="P53" s="373"/>
      <c r="Q53" s="129" t="e">
        <f>IF(J53+1&lt;N53,"Menor que REF.","Mayor que REF.")</f>
        <v>#DIV/0!</v>
      </c>
      <c r="R53" s="137"/>
      <c r="S53" s="137"/>
      <c r="T53" s="145" t="s">
        <v>246</v>
      </c>
      <c r="U53" s="137"/>
      <c r="V53" s="146">
        <f>IF(E53="SI",G53,0)</f>
        <v>0</v>
      </c>
      <c r="W53" s="137"/>
      <c r="X53" s="137"/>
      <c r="Y53" s="73"/>
      <c r="Z53" s="73"/>
      <c r="AA53" s="73"/>
      <c r="AB53" s="73"/>
      <c r="AC53" s="73"/>
      <c r="AD53" s="73"/>
    </row>
    <row r="54" spans="1:30" ht="3" customHeight="1" x14ac:dyDescent="0.25">
      <c r="A54" s="373"/>
      <c r="B54" s="369"/>
      <c r="C54" s="80"/>
      <c r="D54" s="369"/>
      <c r="E54" s="80"/>
      <c r="F54" s="163"/>
      <c r="G54" s="164"/>
      <c r="H54" s="120"/>
      <c r="I54" s="136"/>
      <c r="J54" s="165"/>
      <c r="K54" s="91"/>
      <c r="L54" s="116"/>
      <c r="M54" s="107"/>
      <c r="N54" s="80"/>
      <c r="O54" s="369"/>
      <c r="P54" s="373"/>
      <c r="Q54" s="148"/>
      <c r="R54" s="137"/>
      <c r="S54" s="137"/>
      <c r="T54" s="95"/>
      <c r="U54" s="137"/>
      <c r="V54" s="149"/>
      <c r="W54" s="137"/>
      <c r="X54" s="137"/>
      <c r="Y54" s="73"/>
      <c r="Z54" s="73"/>
      <c r="AA54" s="73"/>
      <c r="AB54" s="73"/>
      <c r="AC54" s="73"/>
      <c r="AD54" s="73"/>
    </row>
    <row r="55" spans="1:30" ht="19.5" customHeight="1" x14ac:dyDescent="0.25">
      <c r="A55" s="373"/>
      <c r="B55" s="369"/>
      <c r="C55" s="94" t="s">
        <v>247</v>
      </c>
      <c r="D55" s="369"/>
      <c r="E55" s="144" t="s">
        <v>212</v>
      </c>
      <c r="F55" s="163"/>
      <c r="G55" s="408"/>
      <c r="H55" s="409"/>
      <c r="I55" s="136"/>
      <c r="J55" s="395">
        <f>IF(E55="Si",G55/E12,0)</f>
        <v>0</v>
      </c>
      <c r="K55" s="395"/>
      <c r="L55" s="395"/>
      <c r="M55" s="107"/>
      <c r="N55" s="117">
        <f>COSTES!C15</f>
        <v>0</v>
      </c>
      <c r="O55" s="369"/>
      <c r="P55" s="373"/>
      <c r="Q55" s="129" t="str">
        <f>IF(J55+1&lt;N55,"Menor que REF.","Mayor que REF.")</f>
        <v>Mayor que REF.</v>
      </c>
      <c r="R55" s="137"/>
      <c r="S55" s="137"/>
      <c r="T55" s="145" t="s">
        <v>247</v>
      </c>
      <c r="U55" s="137"/>
      <c r="V55" s="146">
        <f>IF(E55="SI",G55,0)</f>
        <v>0</v>
      </c>
      <c r="W55" s="137"/>
      <c r="X55" s="137"/>
      <c r="Y55" s="73"/>
      <c r="Z55" s="73"/>
      <c r="AA55" s="73"/>
      <c r="AB55" s="73"/>
      <c r="AC55" s="73"/>
      <c r="AD55" s="73"/>
    </row>
    <row r="56" spans="1:30" ht="3" customHeight="1" x14ac:dyDescent="0.25">
      <c r="A56" s="373"/>
      <c r="B56" s="369"/>
      <c r="C56" s="80"/>
      <c r="D56" s="369"/>
      <c r="E56" s="80"/>
      <c r="F56" s="163"/>
      <c r="G56" s="164"/>
      <c r="H56" s="120"/>
      <c r="I56" s="136"/>
      <c r="J56" s="165"/>
      <c r="K56" s="91"/>
      <c r="L56" s="116"/>
      <c r="M56" s="107"/>
      <c r="N56" s="80"/>
      <c r="O56" s="369"/>
      <c r="P56" s="373"/>
      <c r="Q56" s="148"/>
      <c r="R56" s="137"/>
      <c r="S56" s="137"/>
      <c r="T56" s="95"/>
      <c r="U56" s="137"/>
      <c r="V56" s="149"/>
      <c r="W56" s="137"/>
      <c r="X56" s="137"/>
      <c r="Y56" s="73"/>
      <c r="Z56" s="73"/>
      <c r="AA56" s="73"/>
      <c r="AB56" s="73"/>
      <c r="AC56" s="73"/>
      <c r="AD56" s="73"/>
    </row>
    <row r="57" spans="1:30" ht="19.5" customHeight="1" x14ac:dyDescent="0.25">
      <c r="A57" s="373"/>
      <c r="B57" s="369"/>
      <c r="C57" s="94" t="s">
        <v>248</v>
      </c>
      <c r="D57" s="369"/>
      <c r="E57" s="144" t="s">
        <v>211</v>
      </c>
      <c r="F57" s="163"/>
      <c r="G57" s="408"/>
      <c r="H57" s="409"/>
      <c r="I57" s="136"/>
      <c r="J57" s="395" t="e">
        <f>IF(E57="Si",G57/E12,0)</f>
        <v>#DIV/0!</v>
      </c>
      <c r="K57" s="395"/>
      <c r="L57" s="395"/>
      <c r="M57" s="107"/>
      <c r="N57" s="117">
        <f>COSTES!C16</f>
        <v>462.14218749999998</v>
      </c>
      <c r="O57" s="369"/>
      <c r="P57" s="373"/>
      <c r="Q57" s="129" t="e">
        <f>IF(J57+1&lt;N57,"Menor que REF.","Mayor que REF.")</f>
        <v>#DIV/0!</v>
      </c>
      <c r="R57" s="137"/>
      <c r="S57" s="137"/>
      <c r="T57" s="145" t="s">
        <v>248</v>
      </c>
      <c r="U57" s="137"/>
      <c r="V57" s="146">
        <f>IF(E57="SI",G57,0)</f>
        <v>0</v>
      </c>
      <c r="W57" s="137"/>
      <c r="X57" s="137"/>
      <c r="Y57" s="73"/>
      <c r="Z57" s="73"/>
      <c r="AA57" s="73"/>
      <c r="AB57" s="73"/>
      <c r="AC57" s="73"/>
      <c r="AD57" s="73"/>
    </row>
    <row r="58" spans="1:30" ht="3" customHeight="1" x14ac:dyDescent="0.25">
      <c r="A58" s="373"/>
      <c r="B58" s="369"/>
      <c r="C58" s="80"/>
      <c r="D58" s="369"/>
      <c r="E58" s="80"/>
      <c r="F58" s="163"/>
      <c r="G58" s="164"/>
      <c r="H58" s="120"/>
      <c r="I58" s="136"/>
      <c r="J58" s="165"/>
      <c r="K58" s="91"/>
      <c r="L58" s="116"/>
      <c r="M58" s="107"/>
      <c r="N58" s="80"/>
      <c r="O58" s="369"/>
      <c r="P58" s="373"/>
      <c r="Q58" s="148"/>
      <c r="R58" s="137"/>
      <c r="S58" s="137"/>
      <c r="T58" s="95"/>
      <c r="U58" s="137"/>
      <c r="V58" s="149"/>
      <c r="W58" s="137"/>
      <c r="X58" s="137"/>
      <c r="Y58" s="73"/>
      <c r="Z58" s="73"/>
      <c r="AA58" s="73"/>
      <c r="AB58" s="73"/>
      <c r="AC58" s="73"/>
      <c r="AD58" s="73"/>
    </row>
    <row r="59" spans="1:30" ht="19.5" customHeight="1" x14ac:dyDescent="0.25">
      <c r="A59" s="373"/>
      <c r="B59" s="369"/>
      <c r="C59" s="94" t="s">
        <v>191</v>
      </c>
      <c r="D59" s="369"/>
      <c r="E59" s="144" t="s">
        <v>211</v>
      </c>
      <c r="F59" s="163"/>
      <c r="G59" s="408"/>
      <c r="H59" s="409"/>
      <c r="I59" s="136"/>
      <c r="J59" s="395" t="e">
        <f>IF(E59="Si",G59/E12,0)</f>
        <v>#DIV/0!</v>
      </c>
      <c r="K59" s="395"/>
      <c r="L59" s="395"/>
      <c r="M59" s="107"/>
      <c r="N59" s="117">
        <f>COSTES!C17</f>
        <v>362.86249999999995</v>
      </c>
      <c r="O59" s="369"/>
      <c r="P59" s="373"/>
      <c r="Q59" s="129" t="e">
        <f>IF(J59+1&lt;N59,"Menor que REF.","Mayor que REF.")</f>
        <v>#DIV/0!</v>
      </c>
      <c r="R59" s="137"/>
      <c r="S59" s="137"/>
      <c r="T59" s="145" t="s">
        <v>191</v>
      </c>
      <c r="U59" s="137"/>
      <c r="V59" s="146">
        <f>IF(E59="SI",G59,0)</f>
        <v>0</v>
      </c>
      <c r="W59" s="137"/>
      <c r="X59" s="137"/>
      <c r="Y59" s="73"/>
      <c r="Z59" s="73"/>
      <c r="AA59" s="73"/>
      <c r="AB59" s="73"/>
      <c r="AC59" s="73"/>
      <c r="AD59" s="73"/>
    </row>
    <row r="60" spans="1:30" ht="3" customHeight="1" x14ac:dyDescent="0.25">
      <c r="A60" s="373"/>
      <c r="B60" s="369"/>
      <c r="C60" s="80"/>
      <c r="D60" s="369"/>
      <c r="E60" s="80"/>
      <c r="F60" s="163"/>
      <c r="G60" s="164"/>
      <c r="H60" s="120"/>
      <c r="I60" s="136"/>
      <c r="J60" s="165"/>
      <c r="K60" s="91"/>
      <c r="L60" s="116"/>
      <c r="M60" s="107"/>
      <c r="N60" s="80"/>
      <c r="O60" s="369"/>
      <c r="P60" s="373"/>
      <c r="Q60" s="148"/>
      <c r="R60" s="137"/>
      <c r="S60" s="137"/>
      <c r="T60" s="95"/>
      <c r="U60" s="137"/>
      <c r="V60" s="149"/>
      <c r="W60" s="137"/>
      <c r="X60" s="137"/>
      <c r="Y60" s="73"/>
      <c r="Z60" s="73"/>
      <c r="AA60" s="73"/>
      <c r="AB60" s="73"/>
      <c r="AC60" s="73"/>
      <c r="AD60" s="73"/>
    </row>
    <row r="61" spans="1:30" ht="19.5" customHeight="1" x14ac:dyDescent="0.25">
      <c r="A61" s="373"/>
      <c r="B61" s="369"/>
      <c r="C61" s="94" t="s">
        <v>249</v>
      </c>
      <c r="D61" s="369"/>
      <c r="E61" s="144" t="s">
        <v>211</v>
      </c>
      <c r="F61" s="163"/>
      <c r="G61" s="405"/>
      <c r="H61" s="405"/>
      <c r="I61" s="136"/>
      <c r="J61" s="395" t="e">
        <f>IF(E61="Si",G61/E12,0)</f>
        <v>#DIV/0!</v>
      </c>
      <c r="K61" s="395"/>
      <c r="L61" s="395"/>
      <c r="M61" s="107"/>
      <c r="N61" s="117">
        <f>COSTES!C18</f>
        <v>2059.8714499999996</v>
      </c>
      <c r="O61" s="369"/>
      <c r="P61" s="373"/>
      <c r="Q61" s="129" t="e">
        <f>IF(J61+1&lt;N61,"Menor que REF.","Mayor que REF.")</f>
        <v>#DIV/0!</v>
      </c>
      <c r="R61" s="137"/>
      <c r="S61" s="137"/>
      <c r="T61" s="145" t="s">
        <v>249</v>
      </c>
      <c r="U61" s="137"/>
      <c r="V61" s="146">
        <f>IF(E61="SI",G61,0)</f>
        <v>0</v>
      </c>
      <c r="W61" s="137"/>
      <c r="X61" s="137"/>
      <c r="Y61" s="73"/>
      <c r="Z61" s="73"/>
      <c r="AA61" s="73"/>
      <c r="AB61" s="73"/>
      <c r="AC61" s="73"/>
      <c r="AD61" s="73"/>
    </row>
    <row r="62" spans="1:30" ht="3" customHeight="1" x14ac:dyDescent="0.25">
      <c r="A62" s="373"/>
      <c r="B62" s="369"/>
      <c r="C62" s="80"/>
      <c r="D62" s="369"/>
      <c r="E62" s="80"/>
      <c r="F62" s="163"/>
      <c r="G62" s="164"/>
      <c r="H62" s="120"/>
      <c r="I62" s="136"/>
      <c r="J62" s="165"/>
      <c r="K62" s="91"/>
      <c r="L62" s="116"/>
      <c r="M62" s="107"/>
      <c r="N62" s="80"/>
      <c r="O62" s="369"/>
      <c r="P62" s="373"/>
      <c r="Q62" s="148"/>
      <c r="R62" s="137"/>
      <c r="S62" s="137"/>
      <c r="T62" s="95"/>
      <c r="U62" s="137"/>
      <c r="V62" s="149"/>
      <c r="W62" s="137"/>
      <c r="X62" s="137"/>
      <c r="Y62" s="73"/>
      <c r="Z62" s="73"/>
      <c r="AA62" s="73"/>
      <c r="AB62" s="73"/>
      <c r="AC62" s="73"/>
      <c r="AD62" s="73"/>
    </row>
    <row r="63" spans="1:30" ht="19.5" customHeight="1" x14ac:dyDescent="0.25">
      <c r="A63" s="373"/>
      <c r="B63" s="369"/>
      <c r="C63" s="94" t="s">
        <v>256</v>
      </c>
      <c r="D63" s="369"/>
      <c r="E63" s="144" t="s">
        <v>211</v>
      </c>
      <c r="F63" s="163"/>
      <c r="G63" s="405"/>
      <c r="H63" s="405"/>
      <c r="I63" s="136"/>
      <c r="J63" s="395" t="e">
        <f>IF(E63="Si",G63/E12,0)</f>
        <v>#DIV/0!</v>
      </c>
      <c r="K63" s="395"/>
      <c r="L63" s="395"/>
      <c r="M63" s="107"/>
      <c r="N63" s="117">
        <f>COSTES!C19</f>
        <v>811.99999999999989</v>
      </c>
      <c r="O63" s="369"/>
      <c r="P63" s="373"/>
      <c r="Q63" s="129" t="e">
        <f>IF(J63+1&lt;N63,"Menor que REF.","Mayor que REF.")</f>
        <v>#DIV/0!</v>
      </c>
      <c r="R63" s="137"/>
      <c r="S63" s="137"/>
      <c r="T63" s="145" t="s">
        <v>256</v>
      </c>
      <c r="U63" s="137"/>
      <c r="V63" s="146">
        <f>IF(E63="SI",G63,0)</f>
        <v>0</v>
      </c>
      <c r="W63" s="137"/>
      <c r="X63" s="137"/>
      <c r="Y63" s="73"/>
      <c r="Z63" s="73"/>
      <c r="AA63" s="73"/>
      <c r="AB63" s="73"/>
      <c r="AC63" s="73"/>
      <c r="AD63" s="73"/>
    </row>
    <row r="64" spans="1:30" ht="3" customHeight="1" x14ac:dyDescent="0.25">
      <c r="A64" s="373"/>
      <c r="B64" s="369"/>
      <c r="C64" s="80"/>
      <c r="D64" s="369"/>
      <c r="E64" s="80"/>
      <c r="F64" s="163"/>
      <c r="G64" s="164"/>
      <c r="H64" s="120"/>
      <c r="I64" s="136"/>
      <c r="J64" s="165"/>
      <c r="K64" s="91"/>
      <c r="L64" s="116"/>
      <c r="M64" s="107"/>
      <c r="N64" s="80"/>
      <c r="O64" s="369"/>
      <c r="P64" s="373"/>
      <c r="Q64" s="148"/>
      <c r="R64" s="137"/>
      <c r="S64" s="137"/>
      <c r="T64" s="95"/>
      <c r="U64" s="137"/>
      <c r="V64" s="149"/>
      <c r="W64" s="137"/>
      <c r="X64" s="137"/>
      <c r="Y64" s="73"/>
      <c r="Z64" s="73"/>
      <c r="AA64" s="73"/>
      <c r="AB64" s="73"/>
      <c r="AC64" s="73"/>
      <c r="AD64" s="73"/>
    </row>
    <row r="65" spans="1:30" ht="19.5" customHeight="1" x14ac:dyDescent="0.25">
      <c r="A65" s="373"/>
      <c r="B65" s="369"/>
      <c r="C65" s="94" t="s">
        <v>250</v>
      </c>
      <c r="D65" s="369"/>
      <c r="E65" s="144" t="s">
        <v>211</v>
      </c>
      <c r="F65" s="163"/>
      <c r="G65" s="405"/>
      <c r="H65" s="405"/>
      <c r="I65" s="136"/>
      <c r="J65" s="395" t="e">
        <f>IF(E65="Si",G65/E12,0)</f>
        <v>#DIV/0!</v>
      </c>
      <c r="K65" s="395"/>
      <c r="L65" s="395"/>
      <c r="M65" s="107"/>
      <c r="N65" s="117">
        <f>COSTES!C20</f>
        <v>108.49334999999999</v>
      </c>
      <c r="O65" s="369"/>
      <c r="P65" s="373"/>
      <c r="Q65" s="129" t="e">
        <f>IF(J65+1&lt;N65,"Menor que REF.","Mayor que REF.")</f>
        <v>#DIV/0!</v>
      </c>
      <c r="R65" s="137"/>
      <c r="S65" s="137"/>
      <c r="T65" s="145" t="s">
        <v>250</v>
      </c>
      <c r="U65" s="137"/>
      <c r="V65" s="146">
        <f>IF(E65="SI",G65,0)</f>
        <v>0</v>
      </c>
      <c r="W65" s="137"/>
      <c r="X65" s="137"/>
      <c r="Y65" s="73"/>
      <c r="Z65" s="73"/>
      <c r="AA65" s="73"/>
      <c r="AB65" s="73"/>
      <c r="AC65" s="73"/>
      <c r="AD65" s="73"/>
    </row>
    <row r="66" spans="1:30" ht="3" customHeight="1" x14ac:dyDescent="0.25">
      <c r="A66" s="373"/>
      <c r="B66" s="369"/>
      <c r="C66" s="80"/>
      <c r="D66" s="369"/>
      <c r="E66" s="80"/>
      <c r="F66" s="163"/>
      <c r="G66" s="164"/>
      <c r="H66" s="120"/>
      <c r="I66" s="136"/>
      <c r="J66" s="165"/>
      <c r="K66" s="91"/>
      <c r="L66" s="116"/>
      <c r="M66" s="107"/>
      <c r="N66" s="80"/>
      <c r="O66" s="369"/>
      <c r="P66" s="373"/>
      <c r="Q66" s="137"/>
      <c r="R66" s="137"/>
      <c r="S66" s="137"/>
      <c r="T66" s="95"/>
      <c r="U66" s="137"/>
      <c r="V66" s="149"/>
      <c r="W66" s="137"/>
      <c r="X66" s="137"/>
      <c r="Y66" s="73"/>
      <c r="Z66" s="73"/>
      <c r="AA66" s="73"/>
      <c r="AB66" s="73"/>
      <c r="AC66" s="73"/>
      <c r="AD66" s="73"/>
    </row>
    <row r="67" spans="1:30" ht="19.5" customHeight="1" x14ac:dyDescent="0.25">
      <c r="A67" s="373"/>
      <c r="B67" s="369"/>
      <c r="C67" s="94" t="s">
        <v>251</v>
      </c>
      <c r="D67" s="369"/>
      <c r="E67" s="144" t="s">
        <v>212</v>
      </c>
      <c r="F67" s="163"/>
      <c r="G67" s="405">
        <v>0</v>
      </c>
      <c r="H67" s="405"/>
      <c r="I67" s="136"/>
      <c r="J67" s="395">
        <f>IF(E67="Si",G67/E12,0)</f>
        <v>0</v>
      </c>
      <c r="K67" s="395"/>
      <c r="L67" s="395"/>
      <c r="M67" s="107"/>
      <c r="N67" s="117">
        <f>COSTES!C21</f>
        <v>0</v>
      </c>
      <c r="O67" s="369"/>
      <c r="P67" s="373"/>
      <c r="Q67" s="129" t="str">
        <f>IF(J67+1&lt;N67,"Menor que REF.","Mayor que REF.")</f>
        <v>Mayor que REF.</v>
      </c>
      <c r="R67" s="137"/>
      <c r="S67" s="137"/>
      <c r="T67" s="145" t="s">
        <v>251</v>
      </c>
      <c r="U67" s="137"/>
      <c r="V67" s="146">
        <f>IF(E67="SI",G67,0)</f>
        <v>0</v>
      </c>
      <c r="W67" s="137"/>
      <c r="X67" s="137"/>
      <c r="Y67" s="73"/>
      <c r="Z67" s="73"/>
      <c r="AA67" s="73"/>
      <c r="AB67" s="73"/>
      <c r="AC67" s="73"/>
      <c r="AD67" s="73"/>
    </row>
    <row r="68" spans="1:30" ht="3" customHeight="1" x14ac:dyDescent="0.25">
      <c r="A68" s="373"/>
      <c r="B68" s="369"/>
      <c r="C68" s="80"/>
      <c r="D68" s="369"/>
      <c r="E68" s="80"/>
      <c r="F68" s="163"/>
      <c r="G68" s="164"/>
      <c r="H68" s="120"/>
      <c r="I68" s="136"/>
      <c r="J68" s="165"/>
      <c r="K68" s="91"/>
      <c r="L68" s="116"/>
      <c r="M68" s="107"/>
      <c r="N68" s="80"/>
      <c r="O68" s="369"/>
      <c r="P68" s="373"/>
      <c r="Q68" s="148"/>
      <c r="R68" s="137"/>
      <c r="S68" s="137"/>
      <c r="T68" s="95"/>
      <c r="U68" s="137"/>
      <c r="V68" s="149"/>
      <c r="W68" s="137"/>
      <c r="X68" s="137"/>
      <c r="Y68" s="73"/>
      <c r="Z68" s="73"/>
      <c r="AA68" s="73"/>
      <c r="AB68" s="73"/>
      <c r="AC68" s="73"/>
      <c r="AD68" s="73"/>
    </row>
    <row r="69" spans="1:30" ht="19.5" customHeight="1" x14ac:dyDescent="0.25">
      <c r="A69" s="373"/>
      <c r="B69" s="369"/>
      <c r="C69" s="94" t="s">
        <v>252</v>
      </c>
      <c r="D69" s="369"/>
      <c r="E69" s="144" t="s">
        <v>211</v>
      </c>
      <c r="F69" s="163"/>
      <c r="G69" s="405"/>
      <c r="H69" s="405"/>
      <c r="I69" s="136"/>
      <c r="J69" s="395" t="e">
        <f>IF(E69="Si",G69/E12,0)</f>
        <v>#DIV/0!</v>
      </c>
      <c r="K69" s="395"/>
      <c r="L69" s="395"/>
      <c r="M69" s="107"/>
      <c r="N69" s="117">
        <f>COSTES!C22</f>
        <v>197.44794999999999</v>
      </c>
      <c r="O69" s="369"/>
      <c r="P69" s="373"/>
      <c r="Q69" s="129" t="e">
        <f>IF(J69+1&lt;N69,"Menor que REF.","Mayor que REF.")</f>
        <v>#DIV/0!</v>
      </c>
      <c r="R69" s="137"/>
      <c r="S69" s="137"/>
      <c r="T69" s="145" t="s">
        <v>252</v>
      </c>
      <c r="U69" s="137"/>
      <c r="V69" s="146">
        <f>IF(E69="SI",G69,0)</f>
        <v>0</v>
      </c>
      <c r="W69" s="137"/>
      <c r="X69" s="137"/>
      <c r="Y69" s="73"/>
      <c r="Z69" s="73"/>
      <c r="AA69" s="73"/>
      <c r="AB69" s="73"/>
      <c r="AC69" s="73"/>
      <c r="AD69" s="73"/>
    </row>
    <row r="70" spans="1:30" ht="3" customHeight="1" x14ac:dyDescent="0.25">
      <c r="A70" s="373"/>
      <c r="B70" s="369"/>
      <c r="C70" s="80"/>
      <c r="D70" s="369"/>
      <c r="E70" s="80"/>
      <c r="F70" s="163"/>
      <c r="G70" s="164"/>
      <c r="H70" s="120"/>
      <c r="I70" s="136"/>
      <c r="J70" s="165"/>
      <c r="K70" s="91"/>
      <c r="L70" s="116"/>
      <c r="M70" s="107"/>
      <c r="N70" s="80"/>
      <c r="O70" s="369"/>
      <c r="P70" s="373"/>
      <c r="Q70" s="148"/>
      <c r="R70" s="137"/>
      <c r="S70" s="137"/>
      <c r="T70" s="95"/>
      <c r="U70" s="137"/>
      <c r="V70" s="149"/>
      <c r="W70" s="137"/>
      <c r="X70" s="137"/>
      <c r="Y70" s="73"/>
      <c r="Z70" s="73"/>
      <c r="AA70" s="73"/>
      <c r="AB70" s="73"/>
      <c r="AC70" s="73"/>
      <c r="AD70" s="73"/>
    </row>
    <row r="71" spans="1:30" ht="19.5" customHeight="1" x14ac:dyDescent="0.25">
      <c r="A71" s="373"/>
      <c r="B71" s="369"/>
      <c r="C71" s="94" t="s">
        <v>253</v>
      </c>
      <c r="D71" s="369"/>
      <c r="E71" s="411">
        <f>E26</f>
        <v>0</v>
      </c>
      <c r="F71" s="411"/>
      <c r="G71" s="411"/>
      <c r="H71" s="411"/>
      <c r="I71" s="136"/>
      <c r="J71" s="395" t="e">
        <f>E71/E12</f>
        <v>#DIV/0!</v>
      </c>
      <c r="K71" s="395"/>
      <c r="L71" s="395"/>
      <c r="M71" s="107"/>
      <c r="N71" s="117">
        <f>costes0!D22</f>
        <v>1697.5</v>
      </c>
      <c r="O71" s="369"/>
      <c r="P71" s="373"/>
      <c r="Q71" s="129" t="e">
        <f>IF(J71+1&lt;N71,"Menor que REF.","Mayor que REF.")</f>
        <v>#DIV/0!</v>
      </c>
      <c r="R71" s="137"/>
      <c r="S71" s="137"/>
      <c r="T71" s="145" t="s">
        <v>235</v>
      </c>
      <c r="U71" s="137"/>
      <c r="V71" s="146">
        <f>E26</f>
        <v>0</v>
      </c>
      <c r="W71" s="137"/>
      <c r="X71" s="137"/>
      <c r="Y71" s="73"/>
      <c r="Z71" s="73"/>
      <c r="AA71" s="73"/>
      <c r="AB71" s="73"/>
      <c r="AC71" s="73"/>
      <c r="AD71" s="73"/>
    </row>
    <row r="72" spans="1:30" ht="3" customHeight="1" x14ac:dyDescent="0.25">
      <c r="A72" s="373"/>
      <c r="B72" s="369"/>
      <c r="C72" s="97"/>
      <c r="D72" s="369"/>
      <c r="E72" s="107"/>
      <c r="F72" s="163"/>
      <c r="G72" s="164"/>
      <c r="H72" s="166"/>
      <c r="I72" s="136"/>
      <c r="J72" s="167"/>
      <c r="K72" s="91"/>
      <c r="L72" s="154"/>
      <c r="M72" s="107"/>
      <c r="N72" s="168"/>
      <c r="O72" s="369"/>
      <c r="P72" s="373"/>
      <c r="Q72" s="148"/>
      <c r="R72" s="137"/>
      <c r="S72" s="137"/>
      <c r="T72" s="156"/>
      <c r="U72" s="137"/>
      <c r="V72" s="149"/>
      <c r="W72" s="137"/>
      <c r="X72" s="137"/>
      <c r="Y72" s="73"/>
      <c r="Z72" s="73"/>
      <c r="AA72" s="73"/>
      <c r="AB72" s="73"/>
      <c r="AC72" s="73"/>
      <c r="AD72" s="73"/>
    </row>
    <row r="73" spans="1:30" ht="19.5" customHeight="1" x14ac:dyDescent="0.25">
      <c r="A73" s="373"/>
      <c r="B73" s="369"/>
      <c r="C73" s="94" t="s">
        <v>254</v>
      </c>
      <c r="D73" s="369"/>
      <c r="E73" s="144" t="s">
        <v>211</v>
      </c>
      <c r="F73" s="163"/>
      <c r="G73" s="405"/>
      <c r="H73" s="405"/>
      <c r="I73" s="136"/>
      <c r="J73" s="395" t="e">
        <f>IF(E73="Si",G73/E12,0)</f>
        <v>#DIV/0!</v>
      </c>
      <c r="K73" s="395"/>
      <c r="L73" s="395"/>
      <c r="M73" s="107"/>
      <c r="N73" s="117">
        <f>COSTES!C25</f>
        <v>2042.6874999999998</v>
      </c>
      <c r="O73" s="369"/>
      <c r="P73" s="373"/>
      <c r="Q73" s="129" t="e">
        <f>IF(J73+1&lt;N73,"Menor que REF.","Mayor que REF.")</f>
        <v>#DIV/0!</v>
      </c>
      <c r="R73" s="137"/>
      <c r="S73" s="137"/>
      <c r="T73" s="145" t="s">
        <v>254</v>
      </c>
      <c r="U73" s="137"/>
      <c r="V73" s="146">
        <f>IF(E73="SI",G73,0)</f>
        <v>0</v>
      </c>
      <c r="W73" s="137"/>
      <c r="X73" s="137"/>
      <c r="Y73" s="73"/>
      <c r="Z73" s="73"/>
      <c r="AA73" s="73"/>
      <c r="AB73" s="73"/>
      <c r="AC73" s="73"/>
      <c r="AD73" s="73"/>
    </row>
    <row r="74" spans="1:30" ht="3" customHeight="1" x14ac:dyDescent="0.25">
      <c r="A74" s="169"/>
      <c r="B74" s="75"/>
      <c r="C74" s="73"/>
      <c r="D74" s="75"/>
      <c r="E74" s="80"/>
      <c r="F74" s="163"/>
      <c r="G74" s="163"/>
      <c r="H74" s="116"/>
      <c r="I74" s="136"/>
      <c r="J74" s="116"/>
      <c r="K74" s="91"/>
      <c r="L74" s="116"/>
      <c r="M74" s="107"/>
      <c r="N74" s="80"/>
      <c r="O74" s="75"/>
      <c r="P74" s="169"/>
      <c r="Q74" s="148"/>
      <c r="R74" s="137"/>
      <c r="S74" s="137"/>
      <c r="T74" s="137"/>
      <c r="U74" s="137"/>
      <c r="V74" s="149"/>
      <c r="W74" s="137"/>
      <c r="X74" s="137"/>
      <c r="Y74" s="73"/>
      <c r="Z74" s="73"/>
      <c r="AA74" s="73"/>
      <c r="AB74" s="73"/>
      <c r="AC74" s="73"/>
      <c r="AD74" s="73"/>
    </row>
    <row r="75" spans="1:30" ht="19.5" customHeight="1" x14ac:dyDescent="0.25">
      <c r="A75" s="373"/>
      <c r="B75" s="369"/>
      <c r="C75" s="159" t="s">
        <v>243</v>
      </c>
      <c r="D75" s="369"/>
      <c r="E75" s="144" t="s">
        <v>212</v>
      </c>
      <c r="F75" s="163"/>
      <c r="G75" s="405">
        <v>0</v>
      </c>
      <c r="H75" s="405"/>
      <c r="I75" s="136"/>
      <c r="J75" s="395">
        <f>IF(E75="Si",G75/E12,0)</f>
        <v>0</v>
      </c>
      <c r="K75" s="395"/>
      <c r="L75" s="395"/>
      <c r="M75" s="107"/>
      <c r="N75" s="410"/>
      <c r="O75" s="369"/>
      <c r="P75" s="373"/>
      <c r="Q75" s="170"/>
      <c r="R75" s="137"/>
      <c r="S75" s="137"/>
      <c r="T75" s="145" t="str">
        <f>C75</f>
        <v>OTROS 1</v>
      </c>
      <c r="U75" s="95"/>
      <c r="V75" s="146">
        <f>IF(E75="SI",G75,0)</f>
        <v>0</v>
      </c>
      <c r="W75" s="95"/>
      <c r="X75" s="95"/>
      <c r="Y75" s="73"/>
      <c r="Z75" s="73"/>
      <c r="AA75" s="73"/>
      <c r="AB75" s="73"/>
      <c r="AC75" s="73"/>
      <c r="AD75" s="73"/>
    </row>
    <row r="76" spans="1:30" ht="3" customHeight="1" x14ac:dyDescent="0.25">
      <c r="A76" s="373"/>
      <c r="B76" s="369"/>
      <c r="C76" s="73"/>
      <c r="D76" s="369"/>
      <c r="E76" s="73"/>
      <c r="F76" s="163"/>
      <c r="G76" s="163"/>
      <c r="H76" s="73"/>
      <c r="I76" s="136"/>
      <c r="J76" s="73"/>
      <c r="K76" s="91"/>
      <c r="L76" s="73"/>
      <c r="M76" s="107"/>
      <c r="N76" s="410"/>
      <c r="O76" s="369"/>
      <c r="P76" s="373"/>
      <c r="Q76" s="148"/>
      <c r="R76" s="137"/>
      <c r="S76" s="137"/>
      <c r="T76" s="137"/>
      <c r="U76" s="95"/>
      <c r="V76" s="149"/>
      <c r="W76" s="95"/>
      <c r="X76" s="95"/>
      <c r="Y76" s="73"/>
      <c r="Z76" s="73"/>
      <c r="AA76" s="73"/>
      <c r="AB76" s="73"/>
      <c r="AC76" s="73"/>
      <c r="AD76" s="73"/>
    </row>
    <row r="77" spans="1:30" ht="19.5" customHeight="1" x14ac:dyDescent="0.25">
      <c r="A77" s="373"/>
      <c r="B77" s="369"/>
      <c r="C77" s="159" t="s">
        <v>244</v>
      </c>
      <c r="D77" s="369"/>
      <c r="E77" s="144" t="s">
        <v>212</v>
      </c>
      <c r="F77" s="163"/>
      <c r="G77" s="405">
        <v>0</v>
      </c>
      <c r="H77" s="405"/>
      <c r="I77" s="136"/>
      <c r="J77" s="395">
        <f>IF(E77="Si",G77/E12,0)</f>
        <v>0</v>
      </c>
      <c r="K77" s="395"/>
      <c r="L77" s="395"/>
      <c r="M77" s="107"/>
      <c r="N77" s="410"/>
      <c r="O77" s="369"/>
      <c r="P77" s="373"/>
      <c r="Q77" s="170"/>
      <c r="R77" s="137"/>
      <c r="S77" s="137"/>
      <c r="T77" s="145" t="str">
        <f>C77</f>
        <v>OTROS 2</v>
      </c>
      <c r="U77" s="95"/>
      <c r="V77" s="146">
        <f>IF(E77="SI",G77,0)</f>
        <v>0</v>
      </c>
      <c r="W77" s="95"/>
      <c r="X77" s="95"/>
      <c r="Y77" s="73"/>
      <c r="Z77" s="73"/>
      <c r="AA77" s="73"/>
      <c r="AB77" s="73"/>
      <c r="AC77" s="73"/>
      <c r="AD77" s="73"/>
    </row>
    <row r="78" spans="1:30" ht="3" customHeight="1" x14ac:dyDescent="0.25">
      <c r="A78" s="373"/>
      <c r="B78" s="369"/>
      <c r="C78" s="73"/>
      <c r="D78" s="369"/>
      <c r="E78" s="73"/>
      <c r="F78" s="163"/>
      <c r="G78" s="163"/>
      <c r="H78" s="73"/>
      <c r="I78" s="136"/>
      <c r="J78" s="73"/>
      <c r="K78" s="91"/>
      <c r="L78" s="73"/>
      <c r="M78" s="107"/>
      <c r="N78" s="73"/>
      <c r="O78" s="369"/>
      <c r="P78" s="373"/>
      <c r="Q78" s="148"/>
      <c r="R78" s="95"/>
      <c r="S78" s="137"/>
      <c r="T78" s="95"/>
      <c r="U78" s="95"/>
      <c r="V78" s="137"/>
      <c r="W78" s="95"/>
      <c r="X78" s="95"/>
      <c r="Y78" s="73"/>
      <c r="Z78" s="73"/>
      <c r="AA78" s="73"/>
      <c r="AB78" s="73"/>
      <c r="AC78" s="73"/>
      <c r="AD78" s="73"/>
    </row>
    <row r="79" spans="1:30" ht="3" customHeight="1" x14ac:dyDescent="0.25">
      <c r="A79" s="169"/>
      <c r="B79" s="80"/>
      <c r="C79" s="369"/>
      <c r="D79" s="369"/>
      <c r="E79" s="369"/>
      <c r="F79" s="369"/>
      <c r="G79" s="369"/>
      <c r="H79" s="369"/>
      <c r="I79" s="369"/>
      <c r="J79" s="369"/>
      <c r="K79" s="369"/>
      <c r="L79" s="369"/>
      <c r="M79" s="369"/>
      <c r="N79" s="369"/>
      <c r="O79" s="75"/>
      <c r="P79" s="171"/>
      <c r="Q79" s="170"/>
      <c r="R79" s="137"/>
      <c r="S79" s="137"/>
      <c r="T79" s="137"/>
      <c r="U79" s="137"/>
      <c r="V79" s="137"/>
      <c r="W79" s="137"/>
      <c r="X79" s="137"/>
      <c r="Y79" s="73"/>
      <c r="Z79" s="73"/>
      <c r="AA79" s="73"/>
      <c r="AB79" s="73"/>
      <c r="AC79" s="73"/>
      <c r="AD79" s="73"/>
    </row>
    <row r="80" spans="1:30" ht="5.25" customHeight="1" x14ac:dyDescent="0.25">
      <c r="A80" s="373"/>
      <c r="B80" s="373"/>
      <c r="C80" s="373"/>
      <c r="D80" s="373"/>
      <c r="E80" s="373"/>
      <c r="F80" s="373"/>
      <c r="G80" s="373"/>
      <c r="H80" s="373"/>
      <c r="I80" s="373"/>
      <c r="J80" s="373"/>
      <c r="K80" s="373"/>
      <c r="L80" s="373"/>
      <c r="M80" s="373"/>
      <c r="N80" s="373"/>
      <c r="O80" s="373"/>
      <c r="P80" s="373"/>
      <c r="Q80" s="137"/>
      <c r="R80" s="137"/>
      <c r="S80" s="137"/>
      <c r="U80" s="137"/>
      <c r="W80" s="137"/>
      <c r="X80" s="137"/>
      <c r="Y80" s="73"/>
      <c r="Z80" s="73"/>
      <c r="AA80" s="73"/>
      <c r="AB80" s="73"/>
      <c r="AC80" s="73"/>
      <c r="AD80" s="73"/>
    </row>
    <row r="81" spans="1:30" ht="24" customHeight="1" x14ac:dyDescent="0.25">
      <c r="A81" s="158"/>
      <c r="B81" s="415" t="s">
        <v>255</v>
      </c>
      <c r="C81" s="415"/>
      <c r="D81" s="172"/>
      <c r="E81" s="416">
        <f>E30+E51</f>
        <v>0</v>
      </c>
      <c r="F81" s="416"/>
      <c r="G81" s="416"/>
      <c r="H81" s="416"/>
      <c r="I81" s="158"/>
      <c r="J81" s="417" t="e">
        <f>J30+J51</f>
        <v>#DIV/0!</v>
      </c>
      <c r="K81" s="417"/>
      <c r="L81" s="417"/>
      <c r="M81" s="80"/>
      <c r="N81" s="173">
        <f>N30+N51</f>
        <v>9563.3569127499995</v>
      </c>
      <c r="O81" s="158"/>
      <c r="P81" s="158"/>
      <c r="Q81" s="137"/>
      <c r="R81" s="137"/>
      <c r="S81" s="95"/>
      <c r="T81" s="142" t="s">
        <v>255</v>
      </c>
      <c r="U81" s="137"/>
      <c r="V81" s="143">
        <f>V30+V51</f>
        <v>0</v>
      </c>
      <c r="W81" s="137"/>
      <c r="X81" s="137"/>
      <c r="Y81" s="73"/>
      <c r="Z81" s="73"/>
      <c r="AA81" s="73"/>
      <c r="AB81" s="73"/>
      <c r="AC81" s="73"/>
      <c r="AD81" s="73"/>
    </row>
    <row r="82" spans="1:30" ht="15" customHeight="1" x14ac:dyDescent="0.25">
      <c r="A82" s="373"/>
      <c r="B82" s="373"/>
      <c r="C82" s="373"/>
      <c r="D82" s="373"/>
      <c r="E82" s="373"/>
      <c r="F82" s="373"/>
      <c r="G82" s="373"/>
      <c r="H82" s="373"/>
      <c r="I82" s="373"/>
      <c r="J82" s="373"/>
      <c r="K82" s="373"/>
      <c r="L82" s="373"/>
      <c r="M82" s="373"/>
      <c r="N82" s="373"/>
      <c r="O82" s="373"/>
      <c r="P82" s="373"/>
      <c r="Q82" s="137"/>
      <c r="R82" s="137"/>
      <c r="S82" s="137"/>
      <c r="T82" s="137"/>
      <c r="U82" s="137"/>
      <c r="V82" s="174">
        <f>E12</f>
        <v>0</v>
      </c>
      <c r="W82" s="137"/>
      <c r="X82" s="137"/>
      <c r="Y82" s="73"/>
      <c r="Z82" s="73"/>
      <c r="AA82" s="73"/>
      <c r="AB82" s="73"/>
      <c r="AC82" s="73"/>
      <c r="AD82" s="73"/>
    </row>
    <row r="83" spans="1:30" ht="25.5" customHeight="1" x14ac:dyDescent="0.3">
      <c r="A83" s="373"/>
      <c r="B83" s="373"/>
      <c r="C83" s="373"/>
      <c r="D83" s="373"/>
      <c r="E83" s="373"/>
      <c r="F83" s="373"/>
      <c r="G83" s="373"/>
      <c r="H83" s="373"/>
      <c r="I83" s="373"/>
      <c r="J83" s="373"/>
      <c r="K83" s="373"/>
      <c r="L83" s="373"/>
      <c r="M83" s="373"/>
      <c r="N83" s="373"/>
      <c r="O83" s="373"/>
      <c r="P83" s="373"/>
      <c r="Q83" s="137"/>
      <c r="R83" s="137"/>
      <c r="S83" s="137"/>
      <c r="T83" s="418"/>
      <c r="U83" s="175"/>
      <c r="V83" s="412">
        <f ca="1">TODAY()</f>
        <v>44992</v>
      </c>
      <c r="W83" s="137"/>
      <c r="X83" s="137"/>
      <c r="Y83" s="73"/>
      <c r="Z83" s="73"/>
      <c r="AA83" s="73"/>
      <c r="AB83" s="73"/>
      <c r="AC83" s="73"/>
      <c r="AD83" s="73"/>
    </row>
    <row r="84" spans="1:30" ht="13.8" x14ac:dyDescent="0.3">
      <c r="A84" s="373"/>
      <c r="B84" s="373"/>
      <c r="C84" s="373"/>
      <c r="D84" s="373"/>
      <c r="E84" s="373"/>
      <c r="F84" s="373"/>
      <c r="G84" s="373"/>
      <c r="H84" s="373"/>
      <c r="I84" s="373"/>
      <c r="J84" s="373"/>
      <c r="K84" s="373"/>
      <c r="L84" s="373"/>
      <c r="M84" s="373"/>
      <c r="N84" s="373"/>
      <c r="O84" s="373"/>
      <c r="P84" s="373"/>
      <c r="Q84" s="137"/>
      <c r="R84" s="137"/>
      <c r="S84" s="137"/>
      <c r="T84" s="418"/>
      <c r="U84" s="175"/>
      <c r="V84" s="412"/>
      <c r="W84" s="137"/>
      <c r="X84" s="137"/>
      <c r="Y84" s="73"/>
      <c r="Z84" s="73"/>
      <c r="AA84" s="73"/>
      <c r="AB84" s="73"/>
      <c r="AC84" s="73"/>
      <c r="AD84" s="73"/>
    </row>
    <row r="85" spans="1:30" x14ac:dyDescent="0.25">
      <c r="A85" s="413" t="s">
        <v>283</v>
      </c>
      <c r="B85" s="413"/>
      <c r="C85" s="413"/>
      <c r="D85" s="413"/>
      <c r="E85" s="413"/>
      <c r="F85" s="413"/>
      <c r="G85" s="413"/>
      <c r="H85" s="413"/>
      <c r="I85" s="413"/>
      <c r="J85" s="413"/>
      <c r="K85" s="413"/>
      <c r="L85" s="413"/>
      <c r="M85" s="413"/>
      <c r="N85" s="413"/>
      <c r="O85" s="413"/>
      <c r="P85" s="413"/>
      <c r="Q85" s="137"/>
      <c r="R85" s="137"/>
      <c r="S85" s="137"/>
      <c r="T85" s="137"/>
      <c r="U85" s="137"/>
      <c r="V85" s="176" t="str">
        <f>CONCATENATE("Excel"," ",J8)</f>
        <v>Excel Versión 1.5 - Fecha: 22-2-2023</v>
      </c>
      <c r="W85" s="137"/>
      <c r="X85" s="137"/>
      <c r="Y85" s="73"/>
      <c r="Z85" s="73"/>
      <c r="AA85" s="73"/>
      <c r="AB85" s="73"/>
      <c r="AC85" s="73"/>
      <c r="AD85" s="73"/>
    </row>
    <row r="86" spans="1:3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73"/>
      <c r="Z86" s="73"/>
      <c r="AA86" s="73"/>
      <c r="AB86" s="73"/>
      <c r="AC86" s="73"/>
      <c r="AD86" s="73"/>
    </row>
    <row r="87" spans="1:3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73"/>
      <c r="Z87" s="73"/>
      <c r="AA87" s="73"/>
      <c r="AB87" s="73"/>
      <c r="AC87" s="73"/>
      <c r="AD87" s="73"/>
    </row>
    <row r="88" spans="1:30" ht="18" x14ac:dyDescent="0.25">
      <c r="T88" s="366" t="s">
        <v>275</v>
      </c>
      <c r="U88" s="367"/>
      <c r="V88" s="367"/>
      <c r="W88" s="368"/>
    </row>
    <row r="89" spans="1:30" ht="4.5" customHeight="1" x14ac:dyDescent="0.25">
      <c r="V89" s="178"/>
    </row>
    <row r="90" spans="1:30" x14ac:dyDescent="0.25">
      <c r="T90" s="179" t="str">
        <f>S8</f>
        <v>MARGEN NETO (MN)</v>
      </c>
      <c r="V90" s="180" t="e">
        <f>V8</f>
        <v>#DIV/0!</v>
      </c>
    </row>
    <row r="91" spans="1:30" ht="4.5" customHeight="1" x14ac:dyDescent="0.25">
      <c r="V91" s="178"/>
    </row>
    <row r="92" spans="1:30" x14ac:dyDescent="0.25">
      <c r="T92" s="179" t="str">
        <f>S10</f>
        <v>COSTE TOTAL  € / HA</v>
      </c>
      <c r="V92" s="181" t="e">
        <f>V10</f>
        <v>#DIV/0!</v>
      </c>
    </row>
    <row r="93" spans="1:30" ht="4.5" customHeight="1" x14ac:dyDescent="0.25">
      <c r="V93" s="178"/>
    </row>
    <row r="94" spans="1:30" x14ac:dyDescent="0.25">
      <c r="T94" s="179" t="str">
        <f>S12</f>
        <v>MN / COSTE TOTAL (%) (Rentabilidad)</v>
      </c>
      <c r="V94" s="182" t="e">
        <f>V12</f>
        <v>#DIV/0!</v>
      </c>
    </row>
    <row r="95" spans="1:30" ht="4.5" customHeight="1" x14ac:dyDescent="0.25">
      <c r="V95" s="178"/>
    </row>
    <row r="96" spans="1:30" x14ac:dyDescent="0.25">
      <c r="T96" s="179" t="str">
        <f>S14</f>
        <v>UMBRAL DE RENTABILIDAD (Kg/Ha) Viabilidad</v>
      </c>
      <c r="V96" s="183" t="e">
        <f>V14</f>
        <v>#DIV/0!</v>
      </c>
    </row>
    <row r="97" spans="20:22" ht="4.5" customHeight="1" x14ac:dyDescent="0.25">
      <c r="V97" s="178"/>
    </row>
    <row r="98" spans="20:22" x14ac:dyDescent="0.25">
      <c r="T98" s="179" t="str">
        <f>S16</f>
        <v>COSTE MEDIO DE PRODUCCIÓN (€/Kg)</v>
      </c>
      <c r="V98" s="184" t="e">
        <f>V16</f>
        <v>#DIV/0!</v>
      </c>
    </row>
    <row r="99" spans="20:22" ht="4.5" customHeight="1" x14ac:dyDescent="0.25">
      <c r="V99" s="178"/>
    </row>
    <row r="100" spans="20:22" x14ac:dyDescent="0.25">
      <c r="T100" s="414" t="str">
        <f>S18</f>
        <v>PRODUCTIVIDAD DEL AGUA.</v>
      </c>
      <c r="U100" s="414"/>
      <c r="V100" s="414"/>
    </row>
    <row r="101" spans="20:22" ht="4.5" customHeight="1" x14ac:dyDescent="0.25">
      <c r="V101" s="178"/>
    </row>
    <row r="102" spans="20:22" x14ac:dyDescent="0.25">
      <c r="T102" s="179" t="str">
        <f>S20</f>
        <v>PRODUCTIVIDAD TÉCNICA AGUA</v>
      </c>
      <c r="V102" s="185" t="str">
        <f>V20</f>
        <v xml:space="preserve"> NO PROCEDE</v>
      </c>
    </row>
    <row r="103" spans="20:22" ht="4.5" customHeight="1" x14ac:dyDescent="0.25">
      <c r="V103" s="178"/>
    </row>
    <row r="104" spans="20:22" x14ac:dyDescent="0.25">
      <c r="T104" s="179" t="str">
        <f>S22</f>
        <v>PRODUCTIVA ECONOMICA BRUTA AGUA</v>
      </c>
      <c r="V104" s="186" t="str">
        <f>V22</f>
        <v xml:space="preserve"> NO PROCEDE</v>
      </c>
    </row>
    <row r="105" spans="20:22" ht="4.5" customHeight="1" x14ac:dyDescent="0.25">
      <c r="V105" s="178"/>
    </row>
    <row r="106" spans="20:22" x14ac:dyDescent="0.25">
      <c r="T106" s="179" t="str">
        <f>S24</f>
        <v>PRODUCTIVIDAD ECONÓMICA NETA AGUA</v>
      </c>
      <c r="V106" s="186" t="str">
        <f>V24</f>
        <v xml:space="preserve"> NO PROCEDE</v>
      </c>
    </row>
    <row r="107" spans="20:22" ht="4.5" customHeight="1" x14ac:dyDescent="0.25">
      <c r="V107" s="178"/>
    </row>
    <row r="108" spans="20:22" x14ac:dyDescent="0.25">
      <c r="V108" s="178"/>
    </row>
    <row r="109" spans="20:22" x14ac:dyDescent="0.25">
      <c r="V109" s="178"/>
    </row>
    <row r="110" spans="20:22" x14ac:dyDescent="0.25">
      <c r="V110" s="178"/>
    </row>
  </sheetData>
  <sheetProtection selectLockedCells="1"/>
  <mergeCells count="130">
    <mergeCell ref="V83:V84"/>
    <mergeCell ref="A85:P85"/>
    <mergeCell ref="T88:W88"/>
    <mergeCell ref="T100:V100"/>
    <mergeCell ref="A80:P80"/>
    <mergeCell ref="B81:C81"/>
    <mergeCell ref="E81:H81"/>
    <mergeCell ref="J81:L81"/>
    <mergeCell ref="A82:P84"/>
    <mergeCell ref="T83:T84"/>
    <mergeCell ref="N75:N77"/>
    <mergeCell ref="O75:O78"/>
    <mergeCell ref="P75:P78"/>
    <mergeCell ref="G77:H77"/>
    <mergeCell ref="J77:L77"/>
    <mergeCell ref="C79:N79"/>
    <mergeCell ref="G73:H73"/>
    <mergeCell ref="J73:L73"/>
    <mergeCell ref="A75:A78"/>
    <mergeCell ref="B75:B78"/>
    <mergeCell ref="D75:D78"/>
    <mergeCell ref="G75:H75"/>
    <mergeCell ref="J75:L75"/>
    <mergeCell ref="O51:O73"/>
    <mergeCell ref="P51:P73"/>
    <mergeCell ref="G53:H53"/>
    <mergeCell ref="J53:L53"/>
    <mergeCell ref="G55:H55"/>
    <mergeCell ref="J55:L55"/>
    <mergeCell ref="G57:H57"/>
    <mergeCell ref="J57:L57"/>
    <mergeCell ref="G59:H59"/>
    <mergeCell ref="J59:L59"/>
    <mergeCell ref="N46:N48"/>
    <mergeCell ref="O46:O49"/>
    <mergeCell ref="P46:P49"/>
    <mergeCell ref="G48:H48"/>
    <mergeCell ref="J48:L48"/>
    <mergeCell ref="A51:A73"/>
    <mergeCell ref="B51:B73"/>
    <mergeCell ref="D51:D73"/>
    <mergeCell ref="E51:H51"/>
    <mergeCell ref="J51:L51"/>
    <mergeCell ref="G67:H67"/>
    <mergeCell ref="J67:L67"/>
    <mergeCell ref="G69:H69"/>
    <mergeCell ref="J69:L69"/>
    <mergeCell ref="E71:H71"/>
    <mergeCell ref="J71:L71"/>
    <mergeCell ref="G61:H61"/>
    <mergeCell ref="J61:L61"/>
    <mergeCell ref="G63:H63"/>
    <mergeCell ref="J63:L63"/>
    <mergeCell ref="G65:H65"/>
    <mergeCell ref="J65:L65"/>
    <mergeCell ref="G42:H42"/>
    <mergeCell ref="J42:L42"/>
    <mergeCell ref="G44:H44"/>
    <mergeCell ref="J44:L44"/>
    <mergeCell ref="A46:A49"/>
    <mergeCell ref="B46:B49"/>
    <mergeCell ref="D46:D49"/>
    <mergeCell ref="F46:F49"/>
    <mergeCell ref="G46:H46"/>
    <mergeCell ref="J46:L46"/>
    <mergeCell ref="G36:H36"/>
    <mergeCell ref="J36:L36"/>
    <mergeCell ref="G38:H38"/>
    <mergeCell ref="J38:L38"/>
    <mergeCell ref="G40:H40"/>
    <mergeCell ref="J40:L40"/>
    <mergeCell ref="E30:H30"/>
    <mergeCell ref="J30:L30"/>
    <mergeCell ref="G32:H32"/>
    <mergeCell ref="J32:L32"/>
    <mergeCell ref="G34:H34"/>
    <mergeCell ref="J34:L34"/>
    <mergeCell ref="S17:V17"/>
    <mergeCell ref="C18:C20"/>
    <mergeCell ref="E18:E20"/>
    <mergeCell ref="G18:H20"/>
    <mergeCell ref="S18:V18"/>
    <mergeCell ref="S19:V19"/>
    <mergeCell ref="S24:T24"/>
    <mergeCell ref="S25:V25"/>
    <mergeCell ref="C26:C28"/>
    <mergeCell ref="E26:H28"/>
    <mergeCell ref="J26:L26"/>
    <mergeCell ref="S26:V26"/>
    <mergeCell ref="J28:L28"/>
    <mergeCell ref="S20:T20"/>
    <mergeCell ref="S21:V21"/>
    <mergeCell ref="E22:H22"/>
    <mergeCell ref="J22:L22"/>
    <mergeCell ref="S22:T22"/>
    <mergeCell ref="S23:V23"/>
    <mergeCell ref="E8:H8"/>
    <mergeCell ref="J8:L8"/>
    <mergeCell ref="S8:T8"/>
    <mergeCell ref="S9:V9"/>
    <mergeCell ref="J10:L10"/>
    <mergeCell ref="S10:T10"/>
    <mergeCell ref="S15:V15"/>
    <mergeCell ref="E16:H16"/>
    <mergeCell ref="J16:L16"/>
    <mergeCell ref="S16:T16"/>
    <mergeCell ref="S2:T2"/>
    <mergeCell ref="S4:V4"/>
    <mergeCell ref="C5:J5"/>
    <mergeCell ref="S5:V5"/>
    <mergeCell ref="C6:L6"/>
    <mergeCell ref="S6:V6"/>
    <mergeCell ref="A1:A44"/>
    <mergeCell ref="B1:O1"/>
    <mergeCell ref="P1:P44"/>
    <mergeCell ref="B2:B44"/>
    <mergeCell ref="C2:L2"/>
    <mergeCell ref="O2:O44"/>
    <mergeCell ref="C7:J7"/>
    <mergeCell ref="J15:L15"/>
    <mergeCell ref="E24:H24"/>
    <mergeCell ref="J24:L24"/>
    <mergeCell ref="S11:V11"/>
    <mergeCell ref="E12:H12"/>
    <mergeCell ref="J12:L12"/>
    <mergeCell ref="S12:T12"/>
    <mergeCell ref="S13:V13"/>
    <mergeCell ref="E14:H14"/>
    <mergeCell ref="S14:T14"/>
    <mergeCell ref="S7:V7"/>
  </mergeCells>
  <conditionalFormatting sqref="E10 G18 J14 C48 C46 C77 C75 E14 E12 E8 E26 E24">
    <cfRule type="cellIs" dxfId="15" priority="14" stopIfTrue="1" operator="equal">
      <formula>0</formula>
    </cfRule>
  </conditionalFormatting>
  <conditionalFormatting sqref="V10">
    <cfRule type="cellIs" dxfId="14" priority="13" stopIfTrue="1" operator="equal">
      <formula>0</formula>
    </cfRule>
  </conditionalFormatting>
  <conditionalFormatting sqref="V14">
    <cfRule type="cellIs" dxfId="13" priority="12" stopIfTrue="1" operator="equal">
      <formula>0</formula>
    </cfRule>
  </conditionalFormatting>
  <conditionalFormatting sqref="V24">
    <cfRule type="cellIs" dxfId="12" priority="11" stopIfTrue="1" operator="equal">
      <formula>0</formula>
    </cfRule>
  </conditionalFormatting>
  <conditionalFormatting sqref="J10">
    <cfRule type="cellIs" dxfId="11" priority="10" stopIfTrue="1" operator="equal">
      <formula>0</formula>
    </cfRule>
  </conditionalFormatting>
  <conditionalFormatting sqref="L20">
    <cfRule type="cellIs" dxfId="10" priority="9" stopIfTrue="1" operator="equal">
      <formula>0</formula>
    </cfRule>
  </conditionalFormatting>
  <conditionalFormatting sqref="J26 N26">
    <cfRule type="cellIs" dxfId="9" priority="8" stopIfTrue="1" operator="equal">
      <formula>0</formula>
    </cfRule>
  </conditionalFormatting>
  <conditionalFormatting sqref="E26">
    <cfRule type="cellIs" dxfId="8" priority="7" stopIfTrue="1" operator="equal">
      <formula>0</formula>
    </cfRule>
  </conditionalFormatting>
  <conditionalFormatting sqref="N16">
    <cfRule type="cellIs" dxfId="7" priority="6" stopIfTrue="1" operator="equal">
      <formula>0</formula>
    </cfRule>
  </conditionalFormatting>
  <conditionalFormatting sqref="G32 G34 G36 G38 G40 G42 G44 G46 G48 G53 G55 G57 G59 G61 G63 G65 G67 G69 G73 G75 G77">
    <cfRule type="expression" dxfId="6" priority="5" stopIfTrue="1">
      <formula>E32="NO"</formula>
    </cfRule>
  </conditionalFormatting>
  <conditionalFormatting sqref="T48 T46 T77 T75">
    <cfRule type="cellIs" dxfId="5" priority="4" stopIfTrue="1" operator="equal">
      <formula>0</formula>
    </cfRule>
  </conditionalFormatting>
  <conditionalFormatting sqref="Q22 Q28 Q32 Q34 Q36 Q38 Q40 Q42 Q44 Q53 Q55 Q57 Q59 Q61 Q63 Q65 Q67 Q69 Q71 Q73">
    <cfRule type="cellIs" dxfId="4" priority="3" stopIfTrue="1" operator="equal">
      <formula>"Menor que REF."</formula>
    </cfRule>
  </conditionalFormatting>
  <conditionalFormatting sqref="G18:H20">
    <cfRule type="expression" dxfId="3" priority="2" stopIfTrue="1">
      <formula>E18="NO"</formula>
    </cfRule>
  </conditionalFormatting>
  <dataValidations count="2">
    <dataValidation type="list" allowBlank="1" showInputMessage="1" showErrorMessage="1" sqref="E43 E49 E45 E72 E41 F32" xr:uid="{00000000-0002-0000-0000-000000000000}">
      <formula1>#REF!</formula1>
    </dataValidation>
    <dataValidation type="list" allowBlank="1" showInputMessage="1" showErrorMessage="1" sqref="E46 E77 E73 E75 E32 E69 E65 E59 E63 E67 E61 E57 E55 E53 E18 E42 E44 E40 E36 E38 E34 E48" xr:uid="{00000000-0002-0000-0000-000001000000}">
      <formula1>$AC$1:$AC$2</formula1>
    </dataValidation>
  </dataValidations>
  <pageMargins left="1.3779527559055118" right="0.70866141732283472" top="0.74803149606299213" bottom="0.74803149606299213" header="0.31496062992125984" footer="0.31496062992125984"/>
  <pageSetup paperSize="9" scale="77" orientation="portrait" r:id="rId1"/>
  <drawing r:id="rId2"/>
  <legacyDrawing r:id="rId3"/>
  <controls>
    <mc:AlternateContent xmlns:mc="http://schemas.openxmlformats.org/markup-compatibility/2006">
      <mc:Choice Requires="x14">
        <control shapeId="1033" r:id="rId4" name="Label1">
          <controlPr defaultSize="0" autoLine="0" r:id="rId5">
            <anchor moveWithCells="1">
              <from>
                <xdr:col>9</xdr:col>
                <xdr:colOff>7620</xdr:colOff>
                <xdr:row>13</xdr:row>
                <xdr:rowOff>7620</xdr:rowOff>
              </from>
              <to>
                <xdr:col>11</xdr:col>
                <xdr:colOff>190500</xdr:colOff>
                <xdr:row>14</xdr:row>
                <xdr:rowOff>7620</xdr:rowOff>
              </to>
            </anchor>
          </controlPr>
        </control>
      </mc:Choice>
      <mc:Fallback>
        <control shapeId="1033" r:id="rId4" name="Labe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dimension ref="B3:B12"/>
  <sheetViews>
    <sheetView workbookViewId="0">
      <selection activeCell="B23" sqref="B23"/>
    </sheetView>
  </sheetViews>
  <sheetFormatPr baseColWidth="10" defaultRowHeight="13.2" x14ac:dyDescent="0.25"/>
  <cols>
    <col min="1" max="1" width="1.6640625" customWidth="1"/>
    <col min="2" max="2" width="144.33203125" customWidth="1"/>
  </cols>
  <sheetData>
    <row r="3" spans="2:2" x14ac:dyDescent="0.25">
      <c r="B3" s="189" t="s">
        <v>264</v>
      </c>
    </row>
    <row r="4" spans="2:2" x14ac:dyDescent="0.25">
      <c r="B4" s="190" t="s">
        <v>265</v>
      </c>
    </row>
    <row r="5" spans="2:2" ht="26.4" x14ac:dyDescent="0.25">
      <c r="B5" s="190" t="s">
        <v>266</v>
      </c>
    </row>
    <row r="6" spans="2:2" ht="26.4" x14ac:dyDescent="0.25">
      <c r="B6" s="190" t="s">
        <v>267</v>
      </c>
    </row>
    <row r="7" spans="2:2" x14ac:dyDescent="0.25">
      <c r="B7" s="190" t="s">
        <v>268</v>
      </c>
    </row>
    <row r="8" spans="2:2" ht="26.4" x14ac:dyDescent="0.25">
      <c r="B8" s="190" t="s">
        <v>269</v>
      </c>
    </row>
    <row r="9" spans="2:2" ht="39.6" x14ac:dyDescent="0.25">
      <c r="B9" s="190" t="s">
        <v>270</v>
      </c>
    </row>
    <row r="10" spans="2:2" ht="26.4" x14ac:dyDescent="0.25">
      <c r="B10" s="190" t="s">
        <v>271</v>
      </c>
    </row>
    <row r="11" spans="2:2" ht="26.4" x14ac:dyDescent="0.25">
      <c r="B11" s="190" t="s">
        <v>272</v>
      </c>
    </row>
    <row r="12" spans="2:2" ht="26.4" x14ac:dyDescent="0.25">
      <c r="B12" s="190" t="s">
        <v>273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B2:B8"/>
  <sheetViews>
    <sheetView workbookViewId="0">
      <selection activeCell="A2" sqref="A2:IV2"/>
    </sheetView>
  </sheetViews>
  <sheetFormatPr baseColWidth="10" defaultRowHeight="13.2" x14ac:dyDescent="0.25"/>
  <cols>
    <col min="1" max="1" width="1.6640625" customWidth="1"/>
    <col min="2" max="2" width="144.33203125" customWidth="1"/>
  </cols>
  <sheetData>
    <row r="2" spans="2:2" x14ac:dyDescent="0.25">
      <c r="B2" s="189" t="s">
        <v>257</v>
      </c>
    </row>
    <row r="3" spans="2:2" x14ac:dyDescent="0.25">
      <c r="B3" s="190" t="s">
        <v>258</v>
      </c>
    </row>
    <row r="4" spans="2:2" x14ac:dyDescent="0.25">
      <c r="B4" s="190" t="s">
        <v>259</v>
      </c>
    </row>
    <row r="5" spans="2:2" ht="26.4" x14ac:dyDescent="0.25">
      <c r="B5" s="190" t="s">
        <v>260</v>
      </c>
    </row>
    <row r="6" spans="2:2" x14ac:dyDescent="0.25">
      <c r="B6" s="190" t="s">
        <v>261</v>
      </c>
    </row>
    <row r="7" spans="2:2" x14ac:dyDescent="0.25">
      <c r="B7" s="190" t="s">
        <v>262</v>
      </c>
    </row>
    <row r="8" spans="2:2" ht="26.4" x14ac:dyDescent="0.25">
      <c r="B8" s="190" t="s">
        <v>263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B1:K61"/>
  <sheetViews>
    <sheetView workbookViewId="0">
      <selection activeCell="D31" sqref="D31"/>
    </sheetView>
  </sheetViews>
  <sheetFormatPr baseColWidth="10" defaultRowHeight="13.2" x14ac:dyDescent="0.25"/>
  <cols>
    <col min="1" max="1" width="4" customWidth="1"/>
    <col min="2" max="2" width="28.33203125" customWidth="1"/>
    <col min="3" max="3" width="12.5546875" customWidth="1"/>
    <col min="4" max="4" width="13.6640625" customWidth="1"/>
    <col min="5" max="5" width="15.6640625" customWidth="1"/>
    <col min="7" max="7" width="23.109375" customWidth="1"/>
    <col min="8" max="8" width="11" customWidth="1"/>
    <col min="9" max="11" width="9.109375" customWidth="1"/>
  </cols>
  <sheetData>
    <row r="1" spans="2:11" ht="13.8" x14ac:dyDescent="0.3">
      <c r="B1" s="420" t="str">
        <f>'COSTES LIMONERO VERNA ECO'!C2</f>
        <v xml:space="preserve">                             CÁLCULO DE COSTES: LIMONERO VERNA ECOLÓGICO.</v>
      </c>
      <c r="C1" s="420"/>
      <c r="D1" s="1"/>
      <c r="G1" s="419" t="str">
        <f>B1</f>
        <v xml:space="preserve">                             CÁLCULO DE COSTES: LIMONERO VERNA ECOLÓGICO.</v>
      </c>
      <c r="H1" s="419"/>
      <c r="I1" s="419"/>
    </row>
    <row r="2" spans="2:11" ht="13.8" x14ac:dyDescent="0.3">
      <c r="B2" s="192" t="s">
        <v>0</v>
      </c>
      <c r="C2" s="191"/>
      <c r="D2" s="196">
        <f>(C5*C6)+(C3*(C4/100)*C7)</f>
        <v>10329.6</v>
      </c>
      <c r="G2" s="192" t="s">
        <v>39</v>
      </c>
      <c r="H2" s="1"/>
      <c r="I2" s="197"/>
      <c r="J2" s="197"/>
      <c r="K2" s="197"/>
    </row>
    <row r="3" spans="2:11" ht="13.8" x14ac:dyDescent="0.3">
      <c r="B3" s="202" t="s">
        <v>1</v>
      </c>
      <c r="C3" s="250">
        <v>32000</v>
      </c>
      <c r="D3" s="1"/>
      <c r="G3" s="201" t="s">
        <v>40</v>
      </c>
      <c r="H3" s="199">
        <f>ROUND(10000/(K3),0)</f>
        <v>286</v>
      </c>
      <c r="I3" s="247">
        <v>7</v>
      </c>
      <c r="J3" s="247">
        <v>5</v>
      </c>
      <c r="K3" s="198">
        <f>I3*J3</f>
        <v>35</v>
      </c>
    </row>
    <row r="4" spans="2:11" ht="13.8" x14ac:dyDescent="0.3">
      <c r="B4" s="202" t="s">
        <v>2</v>
      </c>
      <c r="C4" s="251">
        <v>12</v>
      </c>
      <c r="D4" s="1"/>
      <c r="G4" s="201" t="s">
        <v>41</v>
      </c>
      <c r="H4" s="252">
        <v>8</v>
      </c>
    </row>
    <row r="5" spans="2:11" ht="13.8" x14ac:dyDescent="0.3">
      <c r="B5" s="202" t="s">
        <v>3</v>
      </c>
      <c r="C5" s="193">
        <f>C3*((100-C4)/100)</f>
        <v>28160</v>
      </c>
      <c r="D5" s="187">
        <f>C3-C5</f>
        <v>3840</v>
      </c>
      <c r="G5" s="201" t="s">
        <v>42</v>
      </c>
      <c r="H5" s="253">
        <v>2</v>
      </c>
    </row>
    <row r="6" spans="2:11" ht="13.8" x14ac:dyDescent="0.3">
      <c r="B6" s="202" t="s">
        <v>4</v>
      </c>
      <c r="C6" s="249">
        <v>0.36</v>
      </c>
      <c r="D6" s="1"/>
      <c r="G6" s="201" t="s">
        <v>43</v>
      </c>
      <c r="H6" s="253">
        <v>230</v>
      </c>
    </row>
    <row r="7" spans="2:11" ht="13.8" x14ac:dyDescent="0.3">
      <c r="B7" s="202" t="s">
        <v>5</v>
      </c>
      <c r="C7" s="249">
        <v>0.05</v>
      </c>
      <c r="D7" s="188">
        <f>D5*C7</f>
        <v>192</v>
      </c>
      <c r="G7" s="201" t="s">
        <v>44</v>
      </c>
      <c r="H7" s="200">
        <f>H6*H4</f>
        <v>1840</v>
      </c>
    </row>
    <row r="8" spans="2:11" ht="13.8" x14ac:dyDescent="0.3">
      <c r="B8" s="202" t="s">
        <v>6</v>
      </c>
      <c r="C8" s="194"/>
      <c r="D8" s="1"/>
      <c r="G8" s="201" t="s">
        <v>45</v>
      </c>
      <c r="H8" s="200">
        <f>H7*C41</f>
        <v>16100</v>
      </c>
    </row>
    <row r="9" spans="2:11" ht="13.8" x14ac:dyDescent="0.3">
      <c r="B9" s="202" t="s">
        <v>7</v>
      </c>
      <c r="C9" s="195"/>
      <c r="D9" s="1"/>
      <c r="G9" s="201" t="s">
        <v>46</v>
      </c>
      <c r="H9" s="253">
        <v>8</v>
      </c>
    </row>
    <row r="10" spans="2:11" ht="13.8" x14ac:dyDescent="0.3">
      <c r="B10" s="31"/>
      <c r="C10" s="31"/>
      <c r="D10" s="1"/>
    </row>
    <row r="11" spans="2:11" ht="13.8" x14ac:dyDescent="0.3">
      <c r="B11" s="31"/>
      <c r="C11" s="31"/>
      <c r="D11" s="1"/>
    </row>
    <row r="12" spans="2:11" ht="13.8" x14ac:dyDescent="0.3">
      <c r="B12" s="31"/>
      <c r="C12" s="31"/>
      <c r="D12" s="1"/>
    </row>
    <row r="13" spans="2:11" ht="13.8" x14ac:dyDescent="0.25">
      <c r="B13" s="203" t="s">
        <v>8</v>
      </c>
      <c r="C13" s="204"/>
      <c r="D13" s="196">
        <f>C15+C17+C21+(C18*C19*C20)+(C22*C23)+C24</f>
        <v>5078.96</v>
      </c>
    </row>
    <row r="14" spans="2:11" ht="13.8" x14ac:dyDescent="0.3">
      <c r="B14" s="205" t="s">
        <v>9</v>
      </c>
      <c r="C14" s="206" t="str">
        <f>fertyfito!B10</f>
        <v>160-54-150-25-0</v>
      </c>
      <c r="D14" s="1"/>
      <c r="F14" s="207"/>
    </row>
    <row r="15" spans="2:11" ht="13.8" x14ac:dyDescent="0.3">
      <c r="B15" s="205" t="s">
        <v>10</v>
      </c>
      <c r="C15" s="254">
        <v>2029.43</v>
      </c>
      <c r="D15" s="1"/>
    </row>
    <row r="16" spans="2:11" ht="13.8" x14ac:dyDescent="0.3">
      <c r="B16" s="205" t="s">
        <v>11</v>
      </c>
      <c r="C16" s="255">
        <v>4</v>
      </c>
      <c r="D16" s="1"/>
    </row>
    <row r="17" spans="2:6" ht="13.8" x14ac:dyDescent="0.3">
      <c r="B17" s="205" t="s">
        <v>12</v>
      </c>
      <c r="C17" s="254">
        <v>357.5</v>
      </c>
      <c r="D17" s="1"/>
    </row>
    <row r="18" spans="2:6" ht="13.8" x14ac:dyDescent="0.3">
      <c r="B18" s="205" t="s">
        <v>140</v>
      </c>
      <c r="C18" s="255">
        <v>1</v>
      </c>
      <c r="D18" s="1"/>
    </row>
    <row r="19" spans="2:6" ht="13.8" x14ac:dyDescent="0.3">
      <c r="B19" s="205" t="s">
        <v>141</v>
      </c>
      <c r="C19" s="256">
        <v>1</v>
      </c>
      <c r="D19" s="1"/>
    </row>
    <row r="20" spans="2:6" ht="13.8" x14ac:dyDescent="0.3">
      <c r="B20" s="205" t="s">
        <v>142</v>
      </c>
      <c r="C20" s="257">
        <v>800</v>
      </c>
      <c r="D20" s="1"/>
      <c r="E20" t="s">
        <v>143</v>
      </c>
    </row>
    <row r="21" spans="2:6" ht="13.8" x14ac:dyDescent="0.3">
      <c r="B21" s="205" t="s">
        <v>13</v>
      </c>
      <c r="C21" s="208">
        <f>F21*C5</f>
        <v>0</v>
      </c>
      <c r="D21" s="1"/>
      <c r="E21" s="209" t="s">
        <v>209</v>
      </c>
      <c r="F21" s="248">
        <v>0</v>
      </c>
    </row>
    <row r="22" spans="2:6" ht="15.6" x14ac:dyDescent="0.3">
      <c r="B22" s="205" t="s">
        <v>138</v>
      </c>
      <c r="C22" s="210">
        <f>fertyfito!V19</f>
        <v>4850</v>
      </c>
      <c r="D22" s="211">
        <f>C22*C23</f>
        <v>1697.5</v>
      </c>
    </row>
    <row r="23" spans="2:6" ht="15.6" x14ac:dyDescent="0.3">
      <c r="B23" s="205" t="s">
        <v>139</v>
      </c>
      <c r="C23" s="258">
        <v>0.35</v>
      </c>
      <c r="D23" s="1"/>
    </row>
    <row r="24" spans="2:6" ht="13.8" x14ac:dyDescent="0.3">
      <c r="B24" s="205" t="s">
        <v>14</v>
      </c>
      <c r="C24" s="254">
        <v>194.53</v>
      </c>
      <c r="D24" s="1"/>
    </row>
    <row r="25" spans="2:6" ht="13.8" x14ac:dyDescent="0.3">
      <c r="B25" s="1"/>
      <c r="C25" s="1"/>
      <c r="D25" s="1"/>
    </row>
    <row r="26" spans="2:6" ht="13.8" x14ac:dyDescent="0.3">
      <c r="B26" s="31"/>
      <c r="C26" s="31"/>
      <c r="D26" s="1"/>
    </row>
    <row r="27" spans="2:6" ht="13.8" x14ac:dyDescent="0.3">
      <c r="B27" s="31"/>
      <c r="C27" s="31"/>
      <c r="D27" s="1"/>
    </row>
    <row r="28" spans="2:6" ht="13.8" x14ac:dyDescent="0.25">
      <c r="B28" s="203" t="s">
        <v>15</v>
      </c>
      <c r="C28" s="204"/>
      <c r="D28" s="196">
        <f>(C29*C30*C31)+(1*C32*C33)+(C34*C18*C35)+(C16*C36*C35)</f>
        <v>349.5625</v>
      </c>
    </row>
    <row r="29" spans="2:6" ht="13.8" x14ac:dyDescent="0.3">
      <c r="B29" s="205" t="s">
        <v>16</v>
      </c>
      <c r="C29" s="260">
        <v>3</v>
      </c>
      <c r="D29" s="1"/>
    </row>
    <row r="30" spans="2:6" ht="13.8" x14ac:dyDescent="0.3">
      <c r="B30" s="205" t="s">
        <v>17</v>
      </c>
      <c r="C30" s="261">
        <v>1.25</v>
      </c>
      <c r="D30" s="1"/>
    </row>
    <row r="31" spans="2:6" ht="13.8" x14ac:dyDescent="0.3">
      <c r="B31" s="212" t="s">
        <v>18</v>
      </c>
      <c r="C31" s="262">
        <v>29.75</v>
      </c>
      <c r="D31" s="1"/>
    </row>
    <row r="32" spans="2:6" ht="13.8" x14ac:dyDescent="0.3">
      <c r="B32" s="205" t="s">
        <v>19</v>
      </c>
      <c r="C32" s="261">
        <v>2</v>
      </c>
      <c r="D32" s="1"/>
    </row>
    <row r="33" spans="2:4" ht="13.8" x14ac:dyDescent="0.3">
      <c r="B33" s="212" t="s">
        <v>20</v>
      </c>
      <c r="C33" s="217">
        <f>C31</f>
        <v>29.75</v>
      </c>
      <c r="D33" s="1"/>
    </row>
    <row r="34" spans="2:4" ht="13.8" x14ac:dyDescent="0.3">
      <c r="B34" s="205" t="s">
        <v>21</v>
      </c>
      <c r="C34" s="261">
        <v>0</v>
      </c>
      <c r="D34" s="1"/>
    </row>
    <row r="35" spans="2:4" ht="13.8" x14ac:dyDescent="0.3">
      <c r="B35" s="212" t="s">
        <v>22</v>
      </c>
      <c r="C35" s="217">
        <f>C33</f>
        <v>29.75</v>
      </c>
      <c r="D35" s="1"/>
    </row>
    <row r="36" spans="2:4" ht="13.8" x14ac:dyDescent="0.3">
      <c r="B36" s="205" t="s">
        <v>23</v>
      </c>
      <c r="C36" s="259">
        <v>1.5</v>
      </c>
      <c r="D36" s="1"/>
    </row>
    <row r="37" spans="2:4" ht="13.8" x14ac:dyDescent="0.3">
      <c r="B37" s="31"/>
      <c r="C37" s="31"/>
      <c r="D37" s="1"/>
    </row>
    <row r="38" spans="2:4" ht="13.8" x14ac:dyDescent="0.3">
      <c r="B38" s="31"/>
      <c r="C38" s="31"/>
      <c r="D38" s="1"/>
    </row>
    <row r="39" spans="2:4" ht="13.8" x14ac:dyDescent="0.3">
      <c r="B39" s="31"/>
      <c r="C39" s="31"/>
      <c r="D39" s="1"/>
    </row>
    <row r="40" spans="2:4" ht="13.8" x14ac:dyDescent="0.25">
      <c r="B40" s="213" t="s">
        <v>24</v>
      </c>
      <c r="C40" s="214"/>
      <c r="D40" s="196">
        <f>(C45+C46+C47+C48+C49)</f>
        <v>1041.75</v>
      </c>
    </row>
    <row r="41" spans="2:4" ht="13.8" x14ac:dyDescent="0.3">
      <c r="B41" s="215" t="s">
        <v>25</v>
      </c>
      <c r="C41" s="262">
        <v>8.75</v>
      </c>
      <c r="D41" s="1"/>
    </row>
    <row r="42" spans="2:4" ht="13.8" x14ac:dyDescent="0.3">
      <c r="B42" s="216" t="s">
        <v>49</v>
      </c>
      <c r="C42" s="262">
        <v>9</v>
      </c>
      <c r="D42" s="1"/>
    </row>
    <row r="43" spans="2:4" ht="13.8" x14ac:dyDescent="0.3">
      <c r="B43" s="216" t="s">
        <v>50</v>
      </c>
      <c r="C43" s="262">
        <v>9</v>
      </c>
      <c r="D43" s="1"/>
    </row>
    <row r="44" spans="2:4" ht="13.8" x14ac:dyDescent="0.3">
      <c r="B44" s="218" t="s">
        <v>26</v>
      </c>
      <c r="C44" s="264">
        <v>22</v>
      </c>
      <c r="D44" s="1"/>
    </row>
    <row r="45" spans="2:4" ht="13.8" x14ac:dyDescent="0.3">
      <c r="B45" s="218" t="s">
        <v>27</v>
      </c>
      <c r="C45" s="208">
        <f>((H3/C44)*H4*C42)</f>
        <v>936</v>
      </c>
      <c r="D45" s="1"/>
    </row>
    <row r="46" spans="2:4" ht="13.8" x14ac:dyDescent="0.3">
      <c r="B46" s="218" t="s">
        <v>28</v>
      </c>
      <c r="C46" s="208">
        <f>C29*C30*C43</f>
        <v>33.75</v>
      </c>
      <c r="D46" s="1"/>
    </row>
    <row r="47" spans="2:4" ht="13.8" x14ac:dyDescent="0.3">
      <c r="B47" s="218" t="s">
        <v>29</v>
      </c>
      <c r="C47" s="208">
        <f>1*C32*C43</f>
        <v>18</v>
      </c>
      <c r="D47" s="1"/>
    </row>
    <row r="48" spans="2:4" ht="13.8" x14ac:dyDescent="0.3">
      <c r="B48" s="218" t="s">
        <v>30</v>
      </c>
      <c r="C48" s="254">
        <v>0</v>
      </c>
      <c r="D48" s="1"/>
    </row>
    <row r="49" spans="2:5" ht="13.8" x14ac:dyDescent="0.3">
      <c r="B49" s="218" t="s">
        <v>31</v>
      </c>
      <c r="C49" s="208">
        <f>C16*C36*C43</f>
        <v>54</v>
      </c>
      <c r="D49" s="1"/>
    </row>
    <row r="50" spans="2:5" ht="13.8" x14ac:dyDescent="0.3">
      <c r="B50" s="218" t="s">
        <v>32</v>
      </c>
      <c r="C50" s="264">
        <v>600</v>
      </c>
      <c r="D50" s="1"/>
    </row>
    <row r="51" spans="2:5" ht="13.8" x14ac:dyDescent="0.3">
      <c r="B51" s="218" t="s">
        <v>33</v>
      </c>
      <c r="C51" s="265">
        <f>(C3/C50)*H4*C41</f>
        <v>3733.3333333333335</v>
      </c>
      <c r="D51" s="1"/>
    </row>
    <row r="52" spans="2:5" ht="13.8" x14ac:dyDescent="0.3">
      <c r="B52" s="218" t="s">
        <v>48</v>
      </c>
      <c r="C52" s="208">
        <f>(H8/H9)</f>
        <v>2012.5</v>
      </c>
      <c r="D52" s="1"/>
    </row>
    <row r="53" spans="2:5" ht="13.8" x14ac:dyDescent="0.3">
      <c r="B53" s="1"/>
      <c r="C53" s="1"/>
      <c r="D53" s="1"/>
    </row>
    <row r="54" spans="2:5" ht="13.8" x14ac:dyDescent="0.3">
      <c r="B54" s="1"/>
      <c r="C54" s="421" t="s">
        <v>34</v>
      </c>
      <c r="D54" s="219">
        <f>D13+D28+D40</f>
        <v>6470.2725</v>
      </c>
      <c r="E54" s="220" t="s">
        <v>47</v>
      </c>
    </row>
    <row r="55" spans="2:5" ht="13.8" x14ac:dyDescent="0.3">
      <c r="B55" s="1"/>
      <c r="C55" s="421" t="s">
        <v>34</v>
      </c>
      <c r="D55" s="219">
        <f>D54+C52</f>
        <v>8482.7724999999991</v>
      </c>
      <c r="E55" s="220" t="s">
        <v>47</v>
      </c>
    </row>
    <row r="56" spans="2:5" ht="13.8" x14ac:dyDescent="0.3">
      <c r="B56" s="1"/>
      <c r="C56" s="1"/>
      <c r="D56" s="1"/>
    </row>
    <row r="57" spans="2:5" ht="13.8" x14ac:dyDescent="0.3">
      <c r="B57" s="200" t="s">
        <v>35</v>
      </c>
      <c r="C57" s="266"/>
      <c r="D57" s="1"/>
    </row>
    <row r="58" spans="2:5" ht="13.8" x14ac:dyDescent="0.3">
      <c r="B58" s="221" t="s">
        <v>36</v>
      </c>
      <c r="C58" s="266"/>
      <c r="D58" s="1"/>
    </row>
    <row r="59" spans="2:5" ht="13.8" x14ac:dyDescent="0.3">
      <c r="B59" s="200" t="s">
        <v>37</v>
      </c>
      <c r="C59" s="266"/>
      <c r="D59" s="1"/>
    </row>
    <row r="60" spans="2:5" ht="13.8" x14ac:dyDescent="0.3">
      <c r="B60" s="221" t="s">
        <v>38</v>
      </c>
      <c r="C60" s="266"/>
      <c r="D60" s="1"/>
    </row>
    <row r="61" spans="2:5" ht="13.8" x14ac:dyDescent="0.3">
      <c r="D61" s="1"/>
    </row>
  </sheetData>
  <mergeCells count="3">
    <mergeCell ref="G1:I1"/>
    <mergeCell ref="B1:C1"/>
    <mergeCell ref="C54:C55"/>
  </mergeCells>
  <phoneticPr fontId="8" type="noConversion"/>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P49"/>
  <sheetViews>
    <sheetView workbookViewId="0">
      <selection activeCell="D31" sqref="D31"/>
    </sheetView>
  </sheetViews>
  <sheetFormatPr baseColWidth="10" defaultRowHeight="13.2" x14ac:dyDescent="0.25"/>
  <cols>
    <col min="1" max="1" width="2.6640625" customWidth="1"/>
    <col min="2" max="2" width="41" customWidth="1"/>
    <col min="4" max="4" width="16" customWidth="1"/>
    <col min="5" max="5" width="8.88671875" customWidth="1"/>
    <col min="6" max="6" width="9.5546875" customWidth="1"/>
    <col min="7" max="7" width="10.6640625" customWidth="1"/>
    <col min="8" max="8" width="12.88671875" customWidth="1"/>
    <col min="9" max="9" width="14.33203125" customWidth="1"/>
    <col min="10" max="10" width="4.109375" customWidth="1"/>
    <col min="11" max="11" width="22.88671875" customWidth="1"/>
    <col min="12" max="12" width="5.88671875" customWidth="1"/>
    <col min="13" max="13" width="6.109375" customWidth="1"/>
    <col min="14" max="14" width="9.33203125" customWidth="1"/>
    <col min="15" max="15" width="7.109375" customWidth="1"/>
    <col min="16" max="16" width="8.88671875" customWidth="1"/>
  </cols>
  <sheetData>
    <row r="1" spans="2:16" ht="13.8" x14ac:dyDescent="0.25">
      <c r="B1" s="424" t="s">
        <v>52</v>
      </c>
      <c r="C1" s="424" t="s">
        <v>72</v>
      </c>
      <c r="D1" s="424" t="s">
        <v>277</v>
      </c>
      <c r="E1" s="425" t="s">
        <v>73</v>
      </c>
      <c r="F1" s="425" t="s">
        <v>74</v>
      </c>
      <c r="G1" s="425" t="s">
        <v>75</v>
      </c>
      <c r="H1" s="422" t="s">
        <v>76</v>
      </c>
      <c r="I1" s="222" t="s">
        <v>71</v>
      </c>
    </row>
    <row r="2" spans="2:16" x14ac:dyDescent="0.25">
      <c r="B2" s="424"/>
      <c r="C2" s="424"/>
      <c r="D2" s="424"/>
      <c r="E2" s="425"/>
      <c r="F2" s="425"/>
      <c r="G2" s="425"/>
      <c r="H2" s="422"/>
      <c r="I2" s="223" t="s">
        <v>77</v>
      </c>
    </row>
    <row r="3" spans="2:16" ht="13.8" x14ac:dyDescent="0.25">
      <c r="B3" s="224" t="s">
        <v>51</v>
      </c>
      <c r="C3" s="225">
        <v>15200</v>
      </c>
      <c r="D3" s="226">
        <f t="shared" ref="D3:D8" si="0">C3/5</f>
        <v>3040</v>
      </c>
      <c r="E3" s="227">
        <v>25</v>
      </c>
      <c r="F3" s="228">
        <f>D3*0.25</f>
        <v>760</v>
      </c>
      <c r="G3" s="229">
        <f t="shared" ref="G3:G8" si="1">(D3-F3)/E3</f>
        <v>91.2</v>
      </c>
      <c r="H3" s="230">
        <v>1.3679999999999999</v>
      </c>
      <c r="I3" s="231">
        <f t="shared" ref="I3:I8" si="2">G3+H3</f>
        <v>92.567999999999998</v>
      </c>
    </row>
    <row r="4" spans="2:16" ht="13.8" x14ac:dyDescent="0.25">
      <c r="B4" s="224" t="s">
        <v>53</v>
      </c>
      <c r="C4" s="225">
        <v>13125</v>
      </c>
      <c r="D4" s="226">
        <f t="shared" si="0"/>
        <v>2625</v>
      </c>
      <c r="E4" s="227">
        <v>15</v>
      </c>
      <c r="F4" s="228">
        <f>D4*0</f>
        <v>0</v>
      </c>
      <c r="G4" s="229">
        <f t="shared" si="1"/>
        <v>175</v>
      </c>
      <c r="H4" s="230">
        <v>2.625</v>
      </c>
      <c r="I4" s="232">
        <f t="shared" si="2"/>
        <v>177.625</v>
      </c>
    </row>
    <row r="5" spans="2:16" ht="13.8" x14ac:dyDescent="0.25">
      <c r="B5" s="224" t="s">
        <v>59</v>
      </c>
      <c r="C5" s="342">
        <f>5*C27</f>
        <v>7305</v>
      </c>
      <c r="D5" s="226">
        <f t="shared" si="0"/>
        <v>1461</v>
      </c>
      <c r="E5" s="227">
        <v>10</v>
      </c>
      <c r="F5" s="228">
        <f>D5*0</f>
        <v>0</v>
      </c>
      <c r="G5" s="229">
        <f t="shared" si="1"/>
        <v>146.1</v>
      </c>
      <c r="H5" s="230">
        <v>2.2000000000000002</v>
      </c>
      <c r="I5" s="232">
        <f t="shared" si="2"/>
        <v>148.29999999999998</v>
      </c>
    </row>
    <row r="6" spans="2:16" ht="13.8" x14ac:dyDescent="0.3">
      <c r="B6" s="224" t="s">
        <v>68</v>
      </c>
      <c r="C6" s="342">
        <f>5*C39</f>
        <v>19189.5</v>
      </c>
      <c r="D6" s="226">
        <f>C6/5</f>
        <v>3837.9</v>
      </c>
      <c r="E6" s="227">
        <v>22</v>
      </c>
      <c r="F6" s="228">
        <f>D6*0</f>
        <v>0</v>
      </c>
      <c r="G6" s="229">
        <f t="shared" si="1"/>
        <v>174.45000000000002</v>
      </c>
      <c r="H6" s="230">
        <v>2.6</v>
      </c>
      <c r="I6" s="232">
        <f t="shared" si="2"/>
        <v>177.05</v>
      </c>
      <c r="K6" s="35" t="s">
        <v>136</v>
      </c>
    </row>
    <row r="7" spans="2:16" ht="13.8" x14ac:dyDescent="0.25">
      <c r="B7" s="224" t="s">
        <v>69</v>
      </c>
      <c r="C7" s="225">
        <v>500</v>
      </c>
      <c r="D7" s="226">
        <f t="shared" si="0"/>
        <v>100</v>
      </c>
      <c r="E7" s="227">
        <v>5</v>
      </c>
      <c r="F7" s="228">
        <f>D7*0</f>
        <v>0</v>
      </c>
      <c r="G7" s="229">
        <f t="shared" si="1"/>
        <v>20</v>
      </c>
      <c r="H7" s="230">
        <v>0.3</v>
      </c>
      <c r="I7" s="232">
        <f t="shared" si="2"/>
        <v>20.3</v>
      </c>
    </row>
    <row r="8" spans="2:16" ht="13.8" x14ac:dyDescent="0.25">
      <c r="B8" s="224" t="s">
        <v>70</v>
      </c>
      <c r="C8" s="225">
        <v>17141.670000000002</v>
      </c>
      <c r="D8" s="226">
        <f t="shared" si="0"/>
        <v>3428.3340000000003</v>
      </c>
      <c r="E8" s="227">
        <v>30</v>
      </c>
      <c r="F8" s="229">
        <f>D8*0.25</f>
        <v>857.08350000000007</v>
      </c>
      <c r="G8" s="229">
        <f t="shared" si="1"/>
        <v>85.70835000000001</v>
      </c>
      <c r="H8" s="230">
        <v>1.2856252500000001</v>
      </c>
      <c r="I8" s="232">
        <f t="shared" si="2"/>
        <v>86.993975250000005</v>
      </c>
    </row>
    <row r="9" spans="2:16" ht="13.8" x14ac:dyDescent="0.25">
      <c r="B9" s="224" t="s">
        <v>135</v>
      </c>
      <c r="C9" s="233">
        <f>5*C45</f>
        <v>8250</v>
      </c>
      <c r="D9" s="226">
        <f>C9/5</f>
        <v>1650</v>
      </c>
      <c r="E9" s="227">
        <v>10</v>
      </c>
      <c r="F9" s="229">
        <f>0</f>
        <v>0</v>
      </c>
      <c r="G9" s="229">
        <f>(D9-F9)/E9</f>
        <v>165</v>
      </c>
      <c r="H9" s="230">
        <v>2.4750000000000001</v>
      </c>
      <c r="I9" s="232">
        <f>G9+H9</f>
        <v>167.47499999999999</v>
      </c>
    </row>
    <row r="10" spans="2:16" ht="13.8" x14ac:dyDescent="0.3">
      <c r="B10" s="2"/>
      <c r="C10" s="219">
        <f>SUM(C3:C9)</f>
        <v>80711.17</v>
      </c>
      <c r="D10" s="234">
        <f>C10/5</f>
        <v>16142.234</v>
      </c>
      <c r="I10" s="235">
        <f>SUM(I3:I9)</f>
        <v>870.31197524999982</v>
      </c>
    </row>
    <row r="11" spans="2:16" ht="13.8" x14ac:dyDescent="0.3">
      <c r="B11" s="2"/>
      <c r="C11" s="2"/>
    </row>
    <row r="12" spans="2:16" ht="13.8" x14ac:dyDescent="0.3">
      <c r="B12" s="2"/>
      <c r="C12" s="2"/>
    </row>
    <row r="13" spans="2:16" ht="13.8" x14ac:dyDescent="0.3">
      <c r="B13" s="2"/>
      <c r="C13" s="2"/>
    </row>
    <row r="14" spans="2:16" x14ac:dyDescent="0.25">
      <c r="I14" s="7"/>
      <c r="J14" s="8"/>
      <c r="K14" s="9"/>
      <c r="L14" s="9"/>
      <c r="M14" s="10"/>
      <c r="N14" s="9"/>
      <c r="O14" s="9"/>
      <c r="P14" s="9"/>
    </row>
    <row r="15" spans="2:16" x14ac:dyDescent="0.25">
      <c r="I15" s="7"/>
      <c r="J15" s="8"/>
      <c r="K15" s="9"/>
      <c r="L15" s="9"/>
      <c r="M15" s="10"/>
      <c r="N15" s="9"/>
      <c r="O15" s="9"/>
      <c r="P15" s="9"/>
    </row>
    <row r="16" spans="2:16" x14ac:dyDescent="0.25">
      <c r="I16" s="7"/>
      <c r="J16" s="8"/>
      <c r="K16" s="9"/>
      <c r="L16" s="9"/>
      <c r="M16" s="10"/>
      <c r="N16" s="9"/>
      <c r="O16" s="9"/>
      <c r="P16" s="9"/>
    </row>
    <row r="17" spans="2:16" x14ac:dyDescent="0.25">
      <c r="I17" s="7"/>
      <c r="J17" s="8"/>
      <c r="K17" s="9"/>
      <c r="L17" s="9"/>
      <c r="M17" s="10"/>
      <c r="N17" s="9"/>
      <c r="O17" s="9"/>
      <c r="P17" s="9"/>
    </row>
    <row r="18" spans="2:16" x14ac:dyDescent="0.25">
      <c r="I18" s="11"/>
      <c r="J18" s="11"/>
      <c r="K18" s="12"/>
      <c r="L18" s="9"/>
      <c r="M18" s="13"/>
      <c r="N18" s="14"/>
      <c r="O18" s="14"/>
      <c r="P18" s="14"/>
    </row>
    <row r="20" spans="2:16" x14ac:dyDescent="0.25">
      <c r="B20" s="29"/>
      <c r="C20" s="29"/>
      <c r="D20" s="29"/>
    </row>
    <row r="21" spans="2:16" ht="13.8" x14ac:dyDescent="0.25">
      <c r="B21" s="423" t="s">
        <v>65</v>
      </c>
      <c r="C21" s="423"/>
      <c r="D21" s="29"/>
    </row>
    <row r="22" spans="2:16" ht="13.8" x14ac:dyDescent="0.3">
      <c r="B22" s="236" t="s">
        <v>54</v>
      </c>
      <c r="C22" s="237">
        <v>266</v>
      </c>
      <c r="D22" s="31"/>
    </row>
    <row r="23" spans="2:16" ht="13.8" x14ac:dyDescent="0.3">
      <c r="B23" s="236" t="s">
        <v>55</v>
      </c>
      <c r="C23" s="237">
        <v>337.5</v>
      </c>
      <c r="D23" s="31"/>
    </row>
    <row r="24" spans="2:16" ht="13.8" x14ac:dyDescent="0.3">
      <c r="B24" s="236" t="s">
        <v>56</v>
      </c>
      <c r="C24" s="237">
        <v>185</v>
      </c>
      <c r="D24" s="31"/>
    </row>
    <row r="25" spans="2:16" ht="13.8" x14ac:dyDescent="0.3">
      <c r="B25" s="236" t="s">
        <v>57</v>
      </c>
      <c r="C25" s="237">
        <v>429</v>
      </c>
      <c r="D25" s="35" t="s">
        <v>137</v>
      </c>
    </row>
    <row r="26" spans="2:16" ht="13.8" x14ac:dyDescent="0.3">
      <c r="B26" s="236" t="s">
        <v>58</v>
      </c>
      <c r="C26" s="237">
        <v>243.5</v>
      </c>
      <c r="D26" s="31"/>
    </row>
    <row r="27" spans="2:16" ht="13.8" x14ac:dyDescent="0.3">
      <c r="B27" s="177"/>
      <c r="C27" s="238">
        <f>SUM(C22:C26)</f>
        <v>1461</v>
      </c>
      <c r="D27" s="32"/>
    </row>
    <row r="28" spans="2:16" x14ac:dyDescent="0.25">
      <c r="B28" s="29"/>
      <c r="C28" s="29"/>
      <c r="D28" s="29"/>
    </row>
    <row r="29" spans="2:16" x14ac:dyDescent="0.25">
      <c r="B29" s="29"/>
      <c r="C29" s="29"/>
      <c r="D29" s="29"/>
    </row>
    <row r="30" spans="2:16" ht="13.8" x14ac:dyDescent="0.25">
      <c r="B30" s="423" t="s">
        <v>66</v>
      </c>
      <c r="C30" s="423"/>
      <c r="D30" s="29"/>
    </row>
    <row r="31" spans="2:16" ht="13.8" x14ac:dyDescent="0.25">
      <c r="B31" s="236" t="s">
        <v>60</v>
      </c>
      <c r="C31" s="237">
        <v>350</v>
      </c>
      <c r="D31" s="29"/>
    </row>
    <row r="32" spans="2:16" ht="13.8" x14ac:dyDescent="0.25">
      <c r="B32" s="236" t="s">
        <v>61</v>
      </c>
      <c r="C32" s="237">
        <v>322</v>
      </c>
      <c r="D32" s="29"/>
    </row>
    <row r="33" spans="2:4" ht="13.8" x14ac:dyDescent="0.25">
      <c r="B33" s="236" t="s">
        <v>62</v>
      </c>
      <c r="C33" s="237">
        <v>269.5</v>
      </c>
      <c r="D33" s="29"/>
    </row>
    <row r="34" spans="2:4" ht="13.8" x14ac:dyDescent="0.3">
      <c r="B34" s="236" t="s">
        <v>127</v>
      </c>
      <c r="C34" s="237">
        <v>644</v>
      </c>
      <c r="D34" s="35" t="s">
        <v>133</v>
      </c>
    </row>
    <row r="35" spans="2:4" ht="13.8" x14ac:dyDescent="0.3">
      <c r="B35" s="236" t="s">
        <v>132</v>
      </c>
      <c r="C35" s="237">
        <v>269.5</v>
      </c>
      <c r="D35" s="35" t="s">
        <v>133</v>
      </c>
    </row>
    <row r="36" spans="2:4" ht="13.8" x14ac:dyDescent="0.25">
      <c r="B36" s="236" t="s">
        <v>63</v>
      </c>
      <c r="C36" s="237">
        <v>83.4</v>
      </c>
      <c r="D36" s="29"/>
    </row>
    <row r="37" spans="2:4" ht="13.8" x14ac:dyDescent="0.25">
      <c r="B37" s="236" t="s">
        <v>64</v>
      </c>
      <c r="C37" s="237">
        <v>183.5</v>
      </c>
      <c r="D37" s="29"/>
    </row>
    <row r="38" spans="2:4" ht="13.8" x14ac:dyDescent="0.3">
      <c r="B38" s="245" t="s">
        <v>67</v>
      </c>
      <c r="C38" s="246">
        <v>1716</v>
      </c>
      <c r="D38" s="29"/>
    </row>
    <row r="39" spans="2:4" ht="13.8" x14ac:dyDescent="0.3">
      <c r="B39" s="33"/>
      <c r="C39" s="239">
        <f>SUM(C31:C38)</f>
        <v>3837.9</v>
      </c>
      <c r="D39" s="29"/>
    </row>
    <row r="40" spans="2:4" ht="13.8" x14ac:dyDescent="0.3">
      <c r="B40" s="30"/>
      <c r="C40" s="29"/>
      <c r="D40" s="29"/>
    </row>
    <row r="41" spans="2:4" ht="13.8" x14ac:dyDescent="0.3">
      <c r="B41" s="3"/>
    </row>
    <row r="42" spans="2:4" ht="13.8" x14ac:dyDescent="0.25">
      <c r="B42" s="423" t="s">
        <v>134</v>
      </c>
      <c r="C42" s="423"/>
    </row>
    <row r="43" spans="2:4" ht="13.8" x14ac:dyDescent="0.25">
      <c r="B43" s="240" t="s">
        <v>128</v>
      </c>
      <c r="C43" s="241">
        <v>122.5</v>
      </c>
      <c r="D43" s="242" t="s">
        <v>129</v>
      </c>
    </row>
    <row r="44" spans="2:4" ht="13.8" x14ac:dyDescent="0.25">
      <c r="B44" s="240" t="s">
        <v>130</v>
      </c>
      <c r="C44" s="241">
        <v>1527.5</v>
      </c>
      <c r="D44" s="242" t="s">
        <v>131</v>
      </c>
    </row>
    <row r="45" spans="2:4" ht="13.8" x14ac:dyDescent="0.25">
      <c r="B45" s="243"/>
      <c r="C45" s="244">
        <f>SUM(C43:C44)</f>
        <v>1650</v>
      </c>
    </row>
    <row r="46" spans="2:4" ht="13.8" x14ac:dyDescent="0.3">
      <c r="B46" s="30"/>
      <c r="C46" s="31"/>
    </row>
    <row r="49" spans="2:2" ht="13.8" x14ac:dyDescent="0.3">
      <c r="B49" s="30"/>
    </row>
  </sheetData>
  <mergeCells count="10">
    <mergeCell ref="H1:H2"/>
    <mergeCell ref="B21:C21"/>
    <mergeCell ref="B30:C30"/>
    <mergeCell ref="B42:C42"/>
    <mergeCell ref="C1:C2"/>
    <mergeCell ref="B1:B2"/>
    <mergeCell ref="D1:D2"/>
    <mergeCell ref="E1:E2"/>
    <mergeCell ref="F1:F2"/>
    <mergeCell ref="G1:G2"/>
  </mergeCells>
  <phoneticPr fontId="8" type="noConversion"/>
  <pageMargins left="0.75" right="0.75" top="1" bottom="1" header="0" footer="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O34"/>
  <sheetViews>
    <sheetView workbookViewId="0">
      <selection activeCell="D31" sqref="D31"/>
    </sheetView>
  </sheetViews>
  <sheetFormatPr baseColWidth="10" defaultRowHeight="13.2" x14ac:dyDescent="0.25"/>
  <cols>
    <col min="1" max="1" width="3.5546875" customWidth="1"/>
    <col min="2" max="2" width="35.44140625" customWidth="1"/>
    <col min="4" max="4" width="3.44140625" customWidth="1"/>
    <col min="5" max="5" width="9.44140625" customWidth="1"/>
    <col min="6" max="7" width="7.88671875" customWidth="1"/>
    <col min="8" max="8" width="20.33203125" customWidth="1"/>
    <col min="9" max="9" width="14.5546875" customWidth="1"/>
    <col min="10" max="10" width="20.109375" customWidth="1"/>
    <col min="11" max="11" width="15.44140625" customWidth="1"/>
  </cols>
  <sheetData>
    <row r="2" spans="2:14" ht="14.4" x14ac:dyDescent="0.3">
      <c r="B2" s="426" t="str">
        <f>costes0!B1</f>
        <v xml:space="preserve">                             CÁLCULO DE COSTES: LIMONERO VERNA ECOLÓGICO.</v>
      </c>
      <c r="C2" s="426"/>
      <c r="D2" s="426"/>
      <c r="E2" s="426"/>
      <c r="F2" s="267">
        <v>1.0149999999999999</v>
      </c>
      <c r="H2" s="268" t="s">
        <v>93</v>
      </c>
      <c r="I2" s="269">
        <v>5</v>
      </c>
      <c r="J2" s="177"/>
      <c r="K2" s="268" t="s">
        <v>110</v>
      </c>
      <c r="L2" s="270"/>
    </row>
    <row r="3" spans="2:14" ht="13.8" x14ac:dyDescent="0.25">
      <c r="H3" s="271" t="s">
        <v>98</v>
      </c>
      <c r="I3" s="272">
        <f>costes0!D2-COSTES!C4-COSTES!C13</f>
        <v>740.78058725000119</v>
      </c>
      <c r="J3" s="177"/>
      <c r="K3" s="271" t="s">
        <v>112</v>
      </c>
      <c r="L3" s="273">
        <f>costes0!D2/costes0!C22</f>
        <v>2.1298144329896909</v>
      </c>
    </row>
    <row r="4" spans="2:14" ht="13.8" x14ac:dyDescent="0.25">
      <c r="B4" s="283" t="s">
        <v>78</v>
      </c>
      <c r="C4" s="284">
        <f>Inversión!I10</f>
        <v>870.31197524999982</v>
      </c>
      <c r="D4" s="177"/>
      <c r="E4" s="285">
        <f>SUM(E5:E11)</f>
        <v>9.0763204289025318E-2</v>
      </c>
      <c r="H4" s="271" t="s">
        <v>101</v>
      </c>
      <c r="I4" s="274">
        <f>I3/C13</f>
        <v>8.4966445525269566E-2</v>
      </c>
      <c r="J4" s="177"/>
      <c r="K4" s="271" t="s">
        <v>109</v>
      </c>
      <c r="L4" s="273">
        <f>costes0!C3/costes0!C22</f>
        <v>6.5979381443298966</v>
      </c>
    </row>
    <row r="5" spans="2:14" ht="13.8" x14ac:dyDescent="0.25">
      <c r="B5" s="286" t="s">
        <v>79</v>
      </c>
      <c r="C5" s="287">
        <f>Inversión!I3</f>
        <v>92.567999999999998</v>
      </c>
      <c r="D5" s="177"/>
      <c r="E5" s="288">
        <f t="shared" ref="E5:E10" si="0">C5/$C$27</f>
        <v>9.6537431789480554E-3</v>
      </c>
      <c r="H5" s="271" t="s">
        <v>99</v>
      </c>
      <c r="I5" s="274">
        <f>I3/C27</f>
        <v>7.7254618672347175E-2</v>
      </c>
      <c r="J5" s="177"/>
      <c r="K5" s="271" t="s">
        <v>111</v>
      </c>
      <c r="L5" s="273">
        <f>I3/costes0!C22</f>
        <v>0.15273826541237137</v>
      </c>
    </row>
    <row r="6" spans="2:14" ht="13.8" x14ac:dyDescent="0.25">
      <c r="B6" s="286" t="s">
        <v>80</v>
      </c>
      <c r="C6" s="287">
        <f>Inversión!I4</f>
        <v>177.625</v>
      </c>
      <c r="D6" s="177"/>
      <c r="E6" s="288">
        <f t="shared" si="0"/>
        <v>1.8524178249077955E-2</v>
      </c>
      <c r="H6" s="271" t="s">
        <v>100</v>
      </c>
      <c r="I6" s="274">
        <f>I3/Inversión!D10</f>
        <v>4.5890834394421563E-2</v>
      </c>
      <c r="J6" s="177"/>
      <c r="K6" s="271" t="s">
        <v>113</v>
      </c>
      <c r="L6" s="272"/>
    </row>
    <row r="7" spans="2:14" ht="13.8" x14ac:dyDescent="0.25">
      <c r="B7" s="286" t="s">
        <v>59</v>
      </c>
      <c r="C7" s="287">
        <f>Inversión!I5</f>
        <v>148.29999999999998</v>
      </c>
      <c r="D7" s="177"/>
      <c r="E7" s="288">
        <f>C7/$C$27</f>
        <v>1.5465928975866352E-2</v>
      </c>
      <c r="H7" s="271" t="s">
        <v>108</v>
      </c>
      <c r="I7" s="275">
        <f>C27/costes0!C6</f>
        <v>26635.609479861108</v>
      </c>
      <c r="J7" s="177"/>
      <c r="K7" s="271" t="s">
        <v>94</v>
      </c>
      <c r="L7" s="270"/>
    </row>
    <row r="8" spans="2:14" ht="15.6" x14ac:dyDescent="0.25">
      <c r="B8" s="286" t="s">
        <v>68</v>
      </c>
      <c r="C8" s="287">
        <f>Inversión!I6</f>
        <v>177.05</v>
      </c>
      <c r="D8" s="177"/>
      <c r="E8" s="288">
        <f t="shared" si="0"/>
        <v>1.84642125770542E-2</v>
      </c>
      <c r="H8" s="271" t="s">
        <v>106</v>
      </c>
      <c r="I8" s="276">
        <f>C27/costes0!C3</f>
        <v>0.29965060664843746</v>
      </c>
      <c r="J8" s="177"/>
      <c r="K8" s="271" t="s">
        <v>114</v>
      </c>
      <c r="L8" s="270"/>
    </row>
    <row r="9" spans="2:14" ht="13.8" x14ac:dyDescent="0.25">
      <c r="B9" s="286" t="s">
        <v>69</v>
      </c>
      <c r="C9" s="287">
        <f>Inversión!I7</f>
        <v>20.3</v>
      </c>
      <c r="D9" s="177"/>
      <c r="E9" s="288">
        <f t="shared" si="0"/>
        <v>2.1170489427517667E-3</v>
      </c>
      <c r="H9" s="271" t="s">
        <v>107</v>
      </c>
      <c r="I9" s="277">
        <f>(COSTES!I7/costes0!C3)*COSTES!I2</f>
        <v>4.1618139812282982</v>
      </c>
      <c r="J9" s="177"/>
      <c r="K9" s="271" t="s">
        <v>95</v>
      </c>
      <c r="L9" s="364">
        <v>0.5</v>
      </c>
    </row>
    <row r="10" spans="2:14" ht="13.8" x14ac:dyDescent="0.25">
      <c r="B10" s="286" t="s">
        <v>70</v>
      </c>
      <c r="C10" s="287">
        <f>Inversión!I8</f>
        <v>86.993975250000005</v>
      </c>
      <c r="D10" s="177"/>
      <c r="E10" s="288">
        <f t="shared" si="0"/>
        <v>9.0724385876249196E-3</v>
      </c>
      <c r="H10" s="271" t="s">
        <v>102</v>
      </c>
      <c r="I10" s="278"/>
      <c r="J10" s="177"/>
      <c r="K10" s="279"/>
      <c r="L10" s="177"/>
    </row>
    <row r="11" spans="2:14" ht="13.8" x14ac:dyDescent="0.25">
      <c r="B11" s="286" t="s">
        <v>145</v>
      </c>
      <c r="C11" s="287">
        <f>Inversión!I9</f>
        <v>167.47499999999999</v>
      </c>
      <c r="D11" s="177"/>
      <c r="E11" s="288">
        <f>C11/$C$27</f>
        <v>1.7465653777702074E-2</v>
      </c>
      <c r="H11" s="271" t="s">
        <v>103</v>
      </c>
      <c r="I11" s="278"/>
      <c r="J11" s="177"/>
      <c r="K11" s="279"/>
      <c r="L11" s="177"/>
    </row>
    <row r="12" spans="2:14" ht="13.8" x14ac:dyDescent="0.25">
      <c r="B12" s="289"/>
      <c r="C12" s="289"/>
      <c r="D12" s="177"/>
      <c r="E12" s="289"/>
      <c r="H12" s="271" t="s">
        <v>104</v>
      </c>
      <c r="I12" s="278"/>
      <c r="J12" s="177"/>
      <c r="K12" s="279"/>
      <c r="L12" s="177"/>
    </row>
    <row r="13" spans="2:14" ht="13.8" x14ac:dyDescent="0.25">
      <c r="B13" s="290" t="s">
        <v>81</v>
      </c>
      <c r="C13" s="284">
        <f>SUM(C14:C25)</f>
        <v>8718.5074374999986</v>
      </c>
      <c r="D13" s="177"/>
      <c r="E13" s="285">
        <f>SUM(E14:E25)</f>
        <v>0.90923679571097471</v>
      </c>
      <c r="H13" s="271" t="s">
        <v>105</v>
      </c>
      <c r="I13" s="278"/>
      <c r="J13" s="177"/>
      <c r="K13" s="279"/>
      <c r="L13" s="177"/>
      <c r="M13" s="22"/>
      <c r="N13" s="6"/>
    </row>
    <row r="14" spans="2:14" ht="13.8" x14ac:dyDescent="0.3">
      <c r="B14" s="286" t="s">
        <v>82</v>
      </c>
      <c r="C14" s="287">
        <f>costes0!C45*F2</f>
        <v>950.04</v>
      </c>
      <c r="D14" s="177"/>
      <c r="E14" s="288">
        <f>C14/$C$27</f>
        <v>9.9077890520782669E-2</v>
      </c>
      <c r="I14" s="24"/>
      <c r="K14" s="20"/>
      <c r="L14" s="21"/>
      <c r="M14" s="22"/>
      <c r="N14" s="6"/>
    </row>
    <row r="15" spans="2:14" ht="13.8" x14ac:dyDescent="0.3">
      <c r="B15" s="286" t="s">
        <v>123</v>
      </c>
      <c r="C15" s="287">
        <f>costes0!C21*F2</f>
        <v>0</v>
      </c>
      <c r="D15" s="177"/>
      <c r="E15" s="288">
        <f>C15/$C$27</f>
        <v>0</v>
      </c>
      <c r="H15" s="20"/>
      <c r="I15" s="24"/>
      <c r="K15" s="20"/>
      <c r="L15" s="21"/>
      <c r="M15" s="22"/>
      <c r="N15" s="6"/>
    </row>
    <row r="16" spans="2:14" ht="13.8" x14ac:dyDescent="0.3">
      <c r="B16" s="286" t="s">
        <v>83</v>
      </c>
      <c r="C16" s="287">
        <f>(costes0!D28+costes0!C46+costes0!C47+costes0!C48+costes0!C49)*F2</f>
        <v>462.14218749999998</v>
      </c>
      <c r="D16" s="177"/>
      <c r="E16" s="288">
        <f t="shared" ref="E16:E23" si="1">C16/$C$27</f>
        <v>4.8195942337333181E-2</v>
      </c>
      <c r="I16" s="24"/>
      <c r="K16" s="20"/>
      <c r="L16" s="21"/>
      <c r="M16" s="22"/>
      <c r="N16" s="6"/>
    </row>
    <row r="17" spans="2:15" ht="13.8" x14ac:dyDescent="0.3">
      <c r="B17" s="286" t="s">
        <v>84</v>
      </c>
      <c r="C17" s="287">
        <f>costes0!C17*F2</f>
        <v>362.86249999999995</v>
      </c>
      <c r="D17" s="177"/>
      <c r="E17" s="288">
        <f t="shared" si="1"/>
        <v>3.7842249851687819E-2</v>
      </c>
      <c r="K17" s="20"/>
      <c r="M17" s="22"/>
      <c r="N17" s="5"/>
    </row>
    <row r="18" spans="2:15" ht="13.8" x14ac:dyDescent="0.3">
      <c r="B18" s="286" t="s">
        <v>85</v>
      </c>
      <c r="C18" s="287">
        <f>costes0!C15*F2</f>
        <v>2059.8714499999996</v>
      </c>
      <c r="D18" s="177"/>
      <c r="E18" s="288">
        <f t="shared" si="1"/>
        <v>0.21482013179443585</v>
      </c>
      <c r="H18" s="280">
        <f>C18/costes0!C5</f>
        <v>7.3148844105113617E-2</v>
      </c>
      <c r="K18" s="20"/>
      <c r="M18" s="23"/>
      <c r="N18" s="6"/>
    </row>
    <row r="19" spans="2:15" ht="13.8" x14ac:dyDescent="0.3">
      <c r="B19" s="286" t="s">
        <v>144</v>
      </c>
      <c r="C19" s="287">
        <f>(costes0!C18*costes0!C19*costes0!C20)*F2</f>
        <v>811.99999999999989</v>
      </c>
      <c r="D19" s="177"/>
      <c r="E19" s="288">
        <f t="shared" si="1"/>
        <v>8.4681957710070643E-2</v>
      </c>
      <c r="H19" s="19" t="s">
        <v>96</v>
      </c>
      <c r="K19" s="20"/>
      <c r="M19" s="22"/>
      <c r="N19" s="6"/>
    </row>
    <row r="20" spans="2:15" ht="13.8" x14ac:dyDescent="0.3">
      <c r="B20" s="286" t="s">
        <v>86</v>
      </c>
      <c r="C20" s="287">
        <f>0.015*(Inversión!D3+Inversión!D4+Inversión!D5)*F2</f>
        <v>108.49334999999999</v>
      </c>
      <c r="D20" s="177"/>
      <c r="E20" s="288">
        <f t="shared" si="1"/>
        <v>1.1314568074536815E-2</v>
      </c>
      <c r="J20" s="40" t="s">
        <v>146</v>
      </c>
      <c r="K20" s="40" t="s">
        <v>147</v>
      </c>
      <c r="L20" s="40" t="s">
        <v>148</v>
      </c>
      <c r="M20" s="40" t="s">
        <v>149</v>
      </c>
      <c r="N20" s="40" t="s">
        <v>150</v>
      </c>
      <c r="O20" s="40" t="s">
        <v>150</v>
      </c>
    </row>
    <row r="21" spans="2:15" ht="13.8" x14ac:dyDescent="0.3">
      <c r="B21" s="286" t="s">
        <v>87</v>
      </c>
      <c r="C21" s="287">
        <v>0</v>
      </c>
      <c r="D21" s="177"/>
      <c r="E21" s="288">
        <f t="shared" si="1"/>
        <v>0</v>
      </c>
      <c r="J21" s="40" t="s">
        <v>71</v>
      </c>
      <c r="K21" s="41">
        <f>C27</f>
        <v>9588.8194127499992</v>
      </c>
      <c r="L21" s="41">
        <v>8600.4481077348482</v>
      </c>
      <c r="M21" s="41">
        <f>K21-L21</f>
        <v>988.37130501515094</v>
      </c>
      <c r="N21" s="42">
        <f>K21/L21</f>
        <v>1.1149209079148161</v>
      </c>
      <c r="O21" s="43">
        <f>N21-1</f>
        <v>0.11492090791481613</v>
      </c>
    </row>
    <row r="22" spans="2:15" ht="13.8" x14ac:dyDescent="0.3">
      <c r="B22" s="286" t="s">
        <v>88</v>
      </c>
      <c r="C22" s="287">
        <f>costes0!C24*F2</f>
        <v>197.44794999999999</v>
      </c>
      <c r="D22" s="177"/>
      <c r="E22" s="288">
        <f t="shared" si="1"/>
        <v>2.0591476541675056E-2</v>
      </c>
      <c r="J22" s="40" t="s">
        <v>151</v>
      </c>
      <c r="K22" s="42">
        <f>C31</f>
        <v>0.34051205300958803</v>
      </c>
      <c r="L22" s="42">
        <v>0.20774029245736347</v>
      </c>
      <c r="M22" s="44">
        <f>K22-L22</f>
        <v>0.13277176055222456</v>
      </c>
      <c r="N22" s="42">
        <f>K22/L22</f>
        <v>1.6391237779713561</v>
      </c>
      <c r="O22" s="43">
        <f>N22-1</f>
        <v>0.63912377797135611</v>
      </c>
    </row>
    <row r="23" spans="2:15" ht="13.8" x14ac:dyDescent="0.3">
      <c r="B23" s="286" t="s">
        <v>91</v>
      </c>
      <c r="C23" s="287">
        <f>(costes0!C22*costes0!C23)*F2</f>
        <v>1722.9624999999999</v>
      </c>
      <c r="D23" s="177"/>
      <c r="E23" s="288">
        <f t="shared" si="1"/>
        <v>0.17968452901605617</v>
      </c>
      <c r="H23" s="281">
        <f>(C22+C23)/costes0!C5</f>
        <v>6.8196393821022716E-2</v>
      </c>
      <c r="J23" s="40" t="s">
        <v>152</v>
      </c>
      <c r="K23" s="41">
        <f>costes0!C5</f>
        <v>28160</v>
      </c>
      <c r="L23" s="41">
        <v>41400</v>
      </c>
      <c r="M23" s="41">
        <f>K23-L23</f>
        <v>-13240</v>
      </c>
      <c r="N23" s="42">
        <f>K23/L23</f>
        <v>0.68019323671497589</v>
      </c>
      <c r="O23" s="43">
        <f>N23-1</f>
        <v>-0.31980676328502411</v>
      </c>
    </row>
    <row r="24" spans="2:15" ht="13.8" x14ac:dyDescent="0.25">
      <c r="B24" s="286" t="s">
        <v>90</v>
      </c>
      <c r="C24" s="287">
        <v>0</v>
      </c>
      <c r="D24" s="177"/>
      <c r="E24" s="288">
        <f>C24/$C$27</f>
        <v>0</v>
      </c>
      <c r="H24" s="282" t="s">
        <v>124</v>
      </c>
    </row>
    <row r="25" spans="2:15" ht="13.8" x14ac:dyDescent="0.25">
      <c r="B25" s="286" t="s">
        <v>89</v>
      </c>
      <c r="C25" s="287">
        <f>costes0!C52*F2</f>
        <v>2042.6874999999998</v>
      </c>
      <c r="D25" s="177"/>
      <c r="E25" s="288">
        <f>C25/$C$27</f>
        <v>0.21302804986439647</v>
      </c>
    </row>
    <row r="26" spans="2:15" ht="13.8" x14ac:dyDescent="0.25">
      <c r="B26" s="289"/>
      <c r="C26" s="291"/>
      <c r="D26" s="177"/>
      <c r="E26" s="177"/>
    </row>
    <row r="27" spans="2:15" ht="13.8" x14ac:dyDescent="0.25">
      <c r="B27" s="292" t="s">
        <v>92</v>
      </c>
      <c r="C27" s="293">
        <f>C4+C13</f>
        <v>9588.8194127499992</v>
      </c>
      <c r="D27" s="177"/>
      <c r="E27" s="294">
        <f>C27/$C$27</f>
        <v>1</v>
      </c>
    </row>
    <row r="28" spans="2:15" ht="13.8" x14ac:dyDescent="0.25">
      <c r="B28" s="295"/>
      <c r="C28" s="291"/>
      <c r="D28" s="177"/>
      <c r="E28" s="177"/>
      <c r="F28" s="5"/>
    </row>
    <row r="29" spans="2:15" ht="13.8" x14ac:dyDescent="0.25">
      <c r="B29" s="177"/>
      <c r="C29" s="291"/>
      <c r="D29" s="291"/>
      <c r="E29" s="177"/>
      <c r="F29" s="5"/>
    </row>
    <row r="30" spans="2:15" ht="13.8" x14ac:dyDescent="0.25">
      <c r="B30" s="177"/>
      <c r="C30" s="296" t="s">
        <v>122</v>
      </c>
      <c r="D30" s="291"/>
      <c r="E30" s="177"/>
      <c r="F30" s="16"/>
    </row>
    <row r="31" spans="2:15" ht="13.8" x14ac:dyDescent="0.25">
      <c r="B31" s="177"/>
      <c r="C31" s="297">
        <f>C27/costes0!C5</f>
        <v>0.34051205300958803</v>
      </c>
      <c r="D31" s="291"/>
      <c r="E31" s="177"/>
      <c r="F31" s="5"/>
    </row>
    <row r="32" spans="2:15" ht="13.8" x14ac:dyDescent="0.3">
      <c r="C32" s="15"/>
      <c r="D32" s="15"/>
      <c r="F32" s="17"/>
    </row>
    <row r="33" spans="2:6" ht="13.8" x14ac:dyDescent="0.3">
      <c r="B33" s="18" t="s">
        <v>97</v>
      </c>
      <c r="C33" s="4"/>
      <c r="D33" s="15"/>
      <c r="F33" s="17"/>
    </row>
    <row r="34" spans="2:6" ht="13.8" x14ac:dyDescent="0.3">
      <c r="B34" s="18" t="s">
        <v>115</v>
      </c>
      <c r="C34" s="28"/>
      <c r="F34" s="6"/>
    </row>
  </sheetData>
  <mergeCells count="1">
    <mergeCell ref="B2:E2"/>
  </mergeCells>
  <phoneticPr fontId="8" type="noConversion"/>
  <conditionalFormatting sqref="I2:I13 L3:L9">
    <cfRule type="cellIs" dxfId="2" priority="3" stopIfTrue="1" operator="equal">
      <formula>0</formula>
    </cfRule>
  </conditionalFormatting>
  <conditionalFormatting sqref="H23">
    <cfRule type="cellIs" dxfId="1" priority="2" stopIfTrue="1" operator="equal">
      <formula>0</formula>
    </cfRule>
  </conditionalFormatting>
  <conditionalFormatting sqref="C4:C11 C13:C25 C27 E27 C31 E13:E25 E4:E11">
    <cfRule type="cellIs" dxfId="0" priority="1" stopIfTrue="1" operator="equal">
      <formula>0</formula>
    </cfRule>
  </conditionalFormatting>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F9"/>
  <sheetViews>
    <sheetView workbookViewId="0">
      <selection activeCell="D31" sqref="D31"/>
    </sheetView>
  </sheetViews>
  <sheetFormatPr baseColWidth="10" defaultRowHeight="13.2" x14ac:dyDescent="0.25"/>
  <cols>
    <col min="1" max="1" width="38" customWidth="1"/>
    <col min="6" max="6" width="12.6640625" customWidth="1"/>
  </cols>
  <sheetData>
    <row r="1" spans="1:6" ht="13.8" x14ac:dyDescent="0.3">
      <c r="A1" s="341" t="str">
        <f>costes0!B1</f>
        <v xml:space="preserve">                             CÁLCULO DE COSTES: LIMONERO VERNA ECOLÓGICO.</v>
      </c>
      <c r="B1" s="298" t="s">
        <v>94</v>
      </c>
      <c r="C1" s="298" t="s">
        <v>116</v>
      </c>
      <c r="D1" s="298" t="s">
        <v>117</v>
      </c>
      <c r="E1" s="25"/>
    </row>
    <row r="2" spans="1:6" ht="13.8" x14ac:dyDescent="0.3">
      <c r="A2" s="286" t="s">
        <v>118</v>
      </c>
      <c r="B2" s="221"/>
      <c r="C2" s="299">
        <f>(costes0!C52/costes0!C41)</f>
        <v>230</v>
      </c>
      <c r="D2" s="343">
        <v>0.125</v>
      </c>
      <c r="E2" s="26"/>
    </row>
    <row r="3" spans="1:6" ht="13.8" x14ac:dyDescent="0.3">
      <c r="A3" s="286" t="s">
        <v>119</v>
      </c>
      <c r="B3" s="221"/>
      <c r="C3" s="299">
        <f>costes0!C16*costes0!C36+costes0!C29*costes0!C30+costes0!C18*costes0!C34+costes0!C32</f>
        <v>11.75</v>
      </c>
      <c r="D3" s="343">
        <v>6.114130434782609E-3</v>
      </c>
      <c r="E3" s="27"/>
    </row>
    <row r="4" spans="1:6" ht="13.8" x14ac:dyDescent="0.25">
      <c r="A4" s="286" t="s">
        <v>120</v>
      </c>
      <c r="B4" s="221"/>
      <c r="C4" s="299">
        <f>((costes0!C51+costes0!C45)/costes0!C41)</f>
        <v>533.63809523809527</v>
      </c>
      <c r="D4" s="344">
        <v>0.28999999999999998</v>
      </c>
      <c r="E4" s="300">
        <f>D2+D3+D4</f>
        <v>0.42111413043478263</v>
      </c>
      <c r="F4" s="177"/>
    </row>
    <row r="5" spans="1:6" ht="13.8" x14ac:dyDescent="0.25">
      <c r="C5" s="301"/>
      <c r="E5" s="300">
        <f>D2+D3+((costes0!C45/costes0!C41)/costes0!H7)</f>
        <v>0.18925077639751553</v>
      </c>
      <c r="F5" s="302" t="s">
        <v>121</v>
      </c>
    </row>
    <row r="8" spans="1:6" ht="13.8" x14ac:dyDescent="0.25">
      <c r="A8" s="303" t="s">
        <v>125</v>
      </c>
      <c r="B8" s="304">
        <f>costes0!C3/costes0!C22</f>
        <v>6.5979381443298966</v>
      </c>
    </row>
    <row r="9" spans="1:6" ht="13.8" x14ac:dyDescent="0.25">
      <c r="A9" s="303" t="s">
        <v>126</v>
      </c>
      <c r="B9" s="305">
        <f>(E4*1000000)/costes0!C22</f>
        <v>86.827655759749007</v>
      </c>
    </row>
  </sheetData>
  <phoneticPr fontId="8" type="noConversion"/>
  <pageMargins left="0.75" right="0.75" top="1" bottom="1" header="0" footer="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Z30"/>
  <sheetViews>
    <sheetView workbookViewId="0">
      <selection activeCell="D31" sqref="D31"/>
    </sheetView>
  </sheetViews>
  <sheetFormatPr baseColWidth="10" defaultColWidth="9.88671875" defaultRowHeight="13.8" x14ac:dyDescent="0.3"/>
  <cols>
    <col min="1" max="1" width="14.109375" style="47" customWidth="1"/>
    <col min="2" max="2" width="22.44140625" style="29" customWidth="1"/>
    <col min="3" max="3" width="8.5546875" style="29" customWidth="1"/>
    <col min="4" max="4" width="10.88671875" style="29" customWidth="1"/>
    <col min="5" max="6" width="9.33203125" style="29" customWidth="1"/>
    <col min="7" max="8" width="7.33203125" style="29" customWidth="1"/>
    <col min="9" max="9" width="7" style="29" customWidth="1"/>
    <col min="10" max="10" width="11.5546875" style="29" customWidth="1"/>
    <col min="11" max="11" width="10.5546875" style="29" customWidth="1"/>
    <col min="12" max="12" width="7" style="29" customWidth="1"/>
    <col min="13" max="13" width="10.33203125" style="29" customWidth="1"/>
    <col min="14" max="14" width="8.109375" style="29" customWidth="1"/>
    <col min="15" max="15" width="8.88671875" style="29" customWidth="1"/>
    <col min="16" max="16" width="15.44140625" style="29" customWidth="1"/>
    <col min="17" max="17" width="4.33203125" style="29" customWidth="1"/>
    <col min="18" max="19" width="4.88671875" style="29" customWidth="1"/>
    <col min="20" max="20" width="3.6640625" style="29" customWidth="1"/>
    <col min="21" max="21" width="23.44140625" style="29" customWidth="1"/>
    <col min="22" max="24" width="9.88671875" style="29"/>
    <col min="25" max="25" width="6.44140625" style="29" customWidth="1"/>
    <col min="26" max="26" width="6.88671875" style="29" customWidth="1"/>
    <col min="27" max="16384" width="9.88671875" style="29"/>
  </cols>
  <sheetData>
    <row r="1" spans="1:22" x14ac:dyDescent="0.3">
      <c r="A1" s="427" t="str">
        <f>costes0!B1</f>
        <v xml:space="preserve">                             CÁLCULO DE COSTES: LIMONERO VERNA ECOLÓGICO.</v>
      </c>
      <c r="B1" s="427"/>
      <c r="C1" s="60" t="s">
        <v>198</v>
      </c>
      <c r="P1"/>
    </row>
    <row r="2" spans="1:22" ht="14.4" thickBot="1" x14ac:dyDescent="0.35">
      <c r="A2" s="65"/>
      <c r="B2" s="61" t="s">
        <v>199</v>
      </c>
      <c r="C2" s="306">
        <v>17000</v>
      </c>
      <c r="D2" s="306">
        <v>1.48</v>
      </c>
      <c r="E2" s="306">
        <v>0.56000000000000005</v>
      </c>
      <c r="F2" s="306">
        <v>2.2999999999999998</v>
      </c>
      <c r="G2" s="306">
        <v>0.45</v>
      </c>
      <c r="K2" s="49">
        <f>($C$2*(D2/100))/3</f>
        <v>83.866666666666674</v>
      </c>
      <c r="L2" s="49">
        <f>($C$2*(E2/100))/3</f>
        <v>31.733333333333338</v>
      </c>
      <c r="M2" s="49">
        <f>($C$2*(F2/100))/3</f>
        <v>130.33333333333334</v>
      </c>
      <c r="N2" s="49">
        <f>($C$2*(G2/100))/3</f>
        <v>25.500000000000004</v>
      </c>
      <c r="P2" s="39" t="s">
        <v>200</v>
      </c>
    </row>
    <row r="3" spans="1:22" s="46" customFormat="1" x14ac:dyDescent="0.3">
      <c r="A3" s="45"/>
      <c r="B3" s="428" t="s">
        <v>153</v>
      </c>
      <c r="C3" s="328" t="s">
        <v>154</v>
      </c>
      <c r="D3" s="328" t="s">
        <v>155</v>
      </c>
      <c r="E3" s="328" t="s">
        <v>155</v>
      </c>
      <c r="F3" s="328" t="s">
        <v>155</v>
      </c>
      <c r="G3" s="328" t="s">
        <v>156</v>
      </c>
      <c r="H3" s="328" t="s">
        <v>156</v>
      </c>
      <c r="I3" s="329" t="s">
        <v>157</v>
      </c>
      <c r="J3" s="330"/>
      <c r="K3" s="328" t="s">
        <v>158</v>
      </c>
      <c r="L3" s="328" t="s">
        <v>158</v>
      </c>
      <c r="M3" s="328" t="s">
        <v>158</v>
      </c>
      <c r="N3" s="328" t="s">
        <v>158</v>
      </c>
      <c r="O3" s="331" t="s">
        <v>158</v>
      </c>
      <c r="P3"/>
      <c r="Q3" s="21"/>
      <c r="R3" s="21"/>
      <c r="S3" s="21"/>
    </row>
    <row r="4" spans="1:22" s="46" customFormat="1" ht="14.4" thickBot="1" x14ac:dyDescent="0.35">
      <c r="A4" s="45"/>
      <c r="B4" s="429"/>
      <c r="C4" s="339" t="s">
        <v>201</v>
      </c>
      <c r="D4" s="339" t="s">
        <v>159</v>
      </c>
      <c r="E4" s="339" t="s">
        <v>160</v>
      </c>
      <c r="F4" s="339" t="s">
        <v>161</v>
      </c>
      <c r="G4" s="339" t="s">
        <v>163</v>
      </c>
      <c r="H4" s="339" t="s">
        <v>162</v>
      </c>
      <c r="I4" s="339" t="s">
        <v>164</v>
      </c>
      <c r="J4" s="339" t="s">
        <v>164</v>
      </c>
      <c r="K4" s="339" t="s">
        <v>165</v>
      </c>
      <c r="L4" s="339" t="s">
        <v>166</v>
      </c>
      <c r="M4" s="339" t="s">
        <v>167</v>
      </c>
      <c r="N4" s="339" t="s">
        <v>168</v>
      </c>
      <c r="O4" s="340" t="s">
        <v>169</v>
      </c>
      <c r="P4"/>
      <c r="Q4" s="21"/>
      <c r="R4" s="21"/>
      <c r="S4" s="21"/>
      <c r="U4" s="25" t="s">
        <v>170</v>
      </c>
      <c r="V4" s="263">
        <v>9.8099999999999993E-3</v>
      </c>
    </row>
    <row r="5" spans="1:22" ht="14.4" x14ac:dyDescent="0.3">
      <c r="B5" s="346" t="s">
        <v>202</v>
      </c>
      <c r="C5" s="347">
        <v>3160</v>
      </c>
      <c r="D5" s="348">
        <v>6</v>
      </c>
      <c r="E5" s="349"/>
      <c r="F5" s="350"/>
      <c r="G5" s="351"/>
      <c r="H5" s="351"/>
      <c r="I5" s="352">
        <v>7</v>
      </c>
      <c r="J5" s="352">
        <v>5</v>
      </c>
      <c r="K5" s="349">
        <f>(C5/1000)*(D5/100)*(100/I5)*(100/J5)*1.2</f>
        <v>65.005714285714276</v>
      </c>
      <c r="L5" s="353"/>
      <c r="M5" s="354"/>
      <c r="N5" s="354"/>
      <c r="O5" s="355"/>
      <c r="P5" s="62"/>
      <c r="Q5" s="31"/>
      <c r="R5" s="31"/>
      <c r="S5" s="31"/>
      <c r="U5" s="25" t="s">
        <v>171</v>
      </c>
      <c r="V5" s="263">
        <v>1.02</v>
      </c>
    </row>
    <row r="6" spans="1:22" ht="14.4" x14ac:dyDescent="0.3">
      <c r="B6" s="332" t="s">
        <v>203</v>
      </c>
      <c r="C6" s="327">
        <v>1740</v>
      </c>
      <c r="D6" s="324">
        <v>2</v>
      </c>
      <c r="E6" s="324">
        <v>4</v>
      </c>
      <c r="F6" s="324">
        <v>6</v>
      </c>
      <c r="G6" s="326"/>
      <c r="H6" s="326"/>
      <c r="I6" s="345">
        <f>I5</f>
        <v>7</v>
      </c>
      <c r="J6" s="345">
        <f>J5</f>
        <v>5</v>
      </c>
      <c r="K6" s="325">
        <f>(C6/1000)*(D6/100)*(100/I6)*(100/J6)*1.12</f>
        <v>11.136000000000001</v>
      </c>
      <c r="L6" s="325">
        <f>(C6/1000)*(E6/100)*(100/I6)*(100/J6)*1.12</f>
        <v>22.272000000000002</v>
      </c>
      <c r="M6" s="325">
        <f>(C6/1000)*(F6/100)*(100/I6)*(100/J6)*1.12</f>
        <v>33.408000000000001</v>
      </c>
      <c r="N6" s="191"/>
      <c r="O6" s="333"/>
      <c r="P6" s="62"/>
      <c r="Q6" s="1"/>
      <c r="R6" s="31"/>
      <c r="S6" s="31"/>
      <c r="U6" s="25" t="s">
        <v>172</v>
      </c>
      <c r="V6" s="263">
        <v>25</v>
      </c>
    </row>
    <row r="7" spans="1:22" ht="15" thickBot="1" x14ac:dyDescent="0.35">
      <c r="B7" s="334" t="s">
        <v>204</v>
      </c>
      <c r="C7" s="362">
        <v>0</v>
      </c>
      <c r="D7" s="363">
        <v>10.199999999999999</v>
      </c>
      <c r="E7" s="335"/>
      <c r="F7" s="335"/>
      <c r="G7" s="335"/>
      <c r="H7" s="335"/>
      <c r="I7" s="356">
        <f>I6</f>
        <v>7</v>
      </c>
      <c r="J7" s="356">
        <f>J6</f>
        <v>5</v>
      </c>
      <c r="K7" s="336">
        <f>(C7/1000)*(D7/100)*(100/I7)*(100/J7)</f>
        <v>0</v>
      </c>
      <c r="L7" s="337"/>
      <c r="M7" s="337"/>
      <c r="N7" s="337"/>
      <c r="O7" s="338"/>
      <c r="P7" s="62"/>
      <c r="Q7" s="15"/>
      <c r="R7" s="31"/>
      <c r="S7" s="31"/>
      <c r="U7" s="25" t="s">
        <v>173</v>
      </c>
      <c r="V7" s="263">
        <v>1</v>
      </c>
    </row>
    <row r="8" spans="1:22" ht="15" thickBot="1" x14ac:dyDescent="0.35">
      <c r="B8" s="31"/>
      <c r="C8" s="31"/>
      <c r="D8" s="31"/>
      <c r="E8" s="31"/>
      <c r="F8" s="31"/>
      <c r="G8" s="31"/>
      <c r="H8" s="31"/>
      <c r="I8" s="46"/>
      <c r="J8" s="321" t="s">
        <v>180</v>
      </c>
      <c r="K8" s="322">
        <f>SUM(K5:K7)+K2</f>
        <v>160.00838095238095</v>
      </c>
      <c r="L8" s="322">
        <f>SUM(L5:L7)+L2</f>
        <v>54.00533333333334</v>
      </c>
      <c r="M8" s="322">
        <f>SUM(M5:M7)+M2</f>
        <v>163.74133333333333</v>
      </c>
      <c r="N8" s="322">
        <f>SUM(N5:N7)+N2</f>
        <v>25.500000000000004</v>
      </c>
      <c r="O8" s="323">
        <f>SUM(O5:O7)+O2</f>
        <v>0</v>
      </c>
      <c r="P8" s="62"/>
      <c r="Q8" s="15"/>
      <c r="R8" s="31"/>
      <c r="S8" s="31"/>
      <c r="U8" s="25" t="s">
        <v>174</v>
      </c>
      <c r="V8" s="263">
        <v>285</v>
      </c>
    </row>
    <row r="9" spans="1:22" ht="14.4" x14ac:dyDescent="0.3">
      <c r="B9" s="309" t="s">
        <v>278</v>
      </c>
      <c r="P9" s="62"/>
      <c r="Q9" s="49"/>
      <c r="R9" s="31"/>
      <c r="S9" s="31"/>
      <c r="U9" s="25" t="s">
        <v>175</v>
      </c>
      <c r="V9" s="263">
        <v>6</v>
      </c>
    </row>
    <row r="10" spans="1:22" ht="14.4" x14ac:dyDescent="0.3">
      <c r="B10" s="313" t="s">
        <v>282</v>
      </c>
      <c r="K10" s="307" t="s">
        <v>187</v>
      </c>
      <c r="L10" s="308">
        <f>10000/(I5*J5)</f>
        <v>285.71428571428572</v>
      </c>
      <c r="M10" s="46"/>
      <c r="P10" s="62"/>
      <c r="Q10" s="15"/>
      <c r="R10" s="31"/>
      <c r="S10" s="31"/>
      <c r="U10" s="25" t="s">
        <v>176</v>
      </c>
      <c r="V10" s="263">
        <v>4</v>
      </c>
    </row>
    <row r="11" spans="1:22" ht="14.4" x14ac:dyDescent="0.3">
      <c r="B11" s="314" t="s">
        <v>184</v>
      </c>
      <c r="C11" s="315"/>
      <c r="D11" s="316" t="s">
        <v>185</v>
      </c>
      <c r="E11" s="316" t="s">
        <v>186</v>
      </c>
      <c r="K11" s="62"/>
      <c r="L11" s="62"/>
      <c r="P11" s="62"/>
      <c r="Q11" s="15"/>
      <c r="R11" s="31"/>
      <c r="S11" s="31"/>
      <c r="U11" s="25" t="s">
        <v>177</v>
      </c>
      <c r="V11" s="263">
        <v>0.24</v>
      </c>
    </row>
    <row r="12" spans="1:22" ht="14.4" x14ac:dyDescent="0.3">
      <c r="B12" s="310" t="s">
        <v>199</v>
      </c>
      <c r="C12" s="311">
        <f>C2/3</f>
        <v>5666.666666666667</v>
      </c>
      <c r="D12" s="360">
        <v>3.5999999999999997E-2</v>
      </c>
      <c r="E12" s="317">
        <f>C12*D12</f>
        <v>204</v>
      </c>
      <c r="K12" s="62"/>
      <c r="L12" s="62"/>
      <c r="P12" s="62"/>
      <c r="Q12" s="15"/>
      <c r="R12" s="31"/>
      <c r="S12" s="31"/>
      <c r="U12" s="25" t="s">
        <v>178</v>
      </c>
      <c r="V12" s="263">
        <v>0.5625</v>
      </c>
    </row>
    <row r="13" spans="1:22" ht="14.4" x14ac:dyDescent="0.3">
      <c r="B13" s="312" t="s">
        <v>205</v>
      </c>
      <c r="C13" s="311">
        <f>C5*$L$10/1000</f>
        <v>902.85714285714289</v>
      </c>
      <c r="D13" s="361">
        <v>1.2</v>
      </c>
      <c r="E13" s="317">
        <f>C13*D13</f>
        <v>1083.4285714285713</v>
      </c>
      <c r="F13" s="62"/>
      <c r="G13" s="62"/>
      <c r="H13" s="62"/>
      <c r="I13" s="62"/>
      <c r="J13" s="62"/>
      <c r="K13" s="62"/>
      <c r="L13" s="62"/>
      <c r="M13" s="62"/>
      <c r="N13" s="62"/>
      <c r="O13" s="62"/>
      <c r="P13" s="62"/>
      <c r="Q13" s="49"/>
      <c r="R13" s="31"/>
      <c r="S13" s="31"/>
      <c r="U13" s="51" t="s">
        <v>179</v>
      </c>
      <c r="V13" s="52">
        <f>(V4*V5*V6*V7*V8*V9*V10*Z19*V11)/(3600*V7*V12)</f>
        <v>143.79280000000003</v>
      </c>
    </row>
    <row r="14" spans="1:22" ht="14.4" x14ac:dyDescent="0.3">
      <c r="B14" s="312" t="s">
        <v>203</v>
      </c>
      <c r="C14" s="311">
        <f>C6*$L$10/1000</f>
        <v>497.14285714285717</v>
      </c>
      <c r="D14" s="361">
        <v>1.3</v>
      </c>
      <c r="E14" s="317">
        <f>C14*D14</f>
        <v>646.28571428571433</v>
      </c>
      <c r="F14" s="62"/>
      <c r="G14" s="62"/>
      <c r="H14" s="62"/>
      <c r="I14" s="62"/>
      <c r="J14"/>
      <c r="K14" s="63"/>
      <c r="L14" s="63"/>
      <c r="M14" s="63"/>
      <c r="N14" s="63"/>
      <c r="O14" s="62"/>
      <c r="P14" s="62"/>
      <c r="Q14" s="1"/>
      <c r="R14" s="31"/>
      <c r="S14" s="31"/>
    </row>
    <row r="15" spans="1:22" ht="14.4" x14ac:dyDescent="0.3">
      <c r="B15" s="312" t="s">
        <v>206</v>
      </c>
      <c r="C15" s="311">
        <f>C20</f>
        <v>7.1428571428571432</v>
      </c>
      <c r="D15" s="361">
        <v>9.5</v>
      </c>
      <c r="E15" s="317">
        <f>C15*D15</f>
        <v>67.857142857142861</v>
      </c>
      <c r="F15" s="62"/>
      <c r="G15" s="62"/>
      <c r="H15" s="62"/>
      <c r="I15" s="62"/>
      <c r="J15"/>
      <c r="K15" s="63"/>
      <c r="L15" s="63"/>
      <c r="M15" s="63"/>
      <c r="N15" s="63"/>
      <c r="O15" s="62"/>
      <c r="P15" s="62"/>
      <c r="Q15" s="31"/>
      <c r="R15" s="31"/>
      <c r="S15" s="31"/>
    </row>
    <row r="16" spans="1:22" ht="14.4" x14ac:dyDescent="0.3">
      <c r="B16" s="312" t="s">
        <v>207</v>
      </c>
      <c r="C16" s="311">
        <f>C15*2</f>
        <v>14.285714285714286</v>
      </c>
      <c r="D16" s="361">
        <v>1.95</v>
      </c>
      <c r="E16" s="317">
        <f>C16*D16</f>
        <v>27.857142857142858</v>
      </c>
      <c r="F16" s="62"/>
      <c r="G16" s="62"/>
      <c r="H16" s="62"/>
      <c r="I16" s="62"/>
      <c r="J16" s="62"/>
      <c r="K16" s="62"/>
      <c r="L16" s="62"/>
      <c r="M16" s="62"/>
      <c r="N16" s="62"/>
      <c r="O16" s="62"/>
      <c r="P16" s="62"/>
      <c r="Q16" s="66"/>
      <c r="R16" s="31"/>
      <c r="S16" s="31"/>
    </row>
    <row r="17" spans="1:26" ht="14.4" x14ac:dyDescent="0.3">
      <c r="E17" s="318">
        <f>SUM(E12:E16)</f>
        <v>2029.4285714285716</v>
      </c>
      <c r="F17" s="62"/>
      <c r="G17" s="62"/>
      <c r="H17" s="62"/>
      <c r="I17" s="62"/>
      <c r="J17" s="62"/>
      <c r="K17" s="64"/>
      <c r="L17" s="64"/>
      <c r="M17" s="64"/>
      <c r="N17" s="64"/>
      <c r="O17" s="62"/>
      <c r="P17" s="62"/>
    </row>
    <row r="18" spans="1:26" ht="14.4" x14ac:dyDescent="0.3">
      <c r="B18" s="62"/>
      <c r="C18" s="62"/>
      <c r="D18" s="62"/>
      <c r="E18" s="62"/>
      <c r="F18" s="62"/>
      <c r="G18" s="62"/>
      <c r="H18" s="62"/>
      <c r="I18" s="62"/>
      <c r="J18" s="62"/>
      <c r="K18" s="62"/>
      <c r="L18" s="62"/>
      <c r="M18" s="62"/>
      <c r="N18" s="62"/>
      <c r="O18" s="62"/>
      <c r="P18" s="62"/>
      <c r="U18" s="37" t="s">
        <v>181</v>
      </c>
      <c r="V18" s="34"/>
      <c r="W18" s="45" t="s">
        <v>116</v>
      </c>
      <c r="X18" s="53" t="s">
        <v>182</v>
      </c>
      <c r="Y18" s="53" t="s">
        <v>183</v>
      </c>
      <c r="Z18" s="53" t="s">
        <v>116</v>
      </c>
    </row>
    <row r="19" spans="1:26" x14ac:dyDescent="0.3">
      <c r="A19" s="65"/>
      <c r="B19"/>
      <c r="C19"/>
      <c r="D19"/>
      <c r="E19"/>
      <c r="F19"/>
      <c r="G19"/>
      <c r="H19"/>
      <c r="I19"/>
      <c r="J19"/>
      <c r="K19"/>
      <c r="L19"/>
      <c r="M19"/>
      <c r="N19"/>
      <c r="O19"/>
      <c r="P19"/>
      <c r="U19" s="37" t="s">
        <v>281</v>
      </c>
      <c r="V19" s="357">
        <v>4850</v>
      </c>
      <c r="W19" s="55">
        <f>V19/6.84</f>
        <v>709.06432748538009</v>
      </c>
      <c r="X19" s="56">
        <f>W19*1</f>
        <v>709.06432748538009</v>
      </c>
      <c r="Y19" s="358">
        <v>1</v>
      </c>
      <c r="Z19" s="55">
        <f>X19*Y19</f>
        <v>709.06432748538009</v>
      </c>
    </row>
    <row r="20" spans="1:26" ht="14.4" x14ac:dyDescent="0.3">
      <c r="B20" s="320" t="s">
        <v>208</v>
      </c>
      <c r="C20" s="319">
        <f>(5*5*L10)/1000</f>
        <v>7.1428571428571432</v>
      </c>
      <c r="D20" s="62"/>
      <c r="E20"/>
      <c r="F20"/>
      <c r="G20"/>
      <c r="H20"/>
      <c r="I20"/>
      <c r="J20"/>
      <c r="K20"/>
      <c r="L20"/>
      <c r="M20"/>
      <c r="N20"/>
      <c r="O20"/>
      <c r="P20"/>
      <c r="W20" s="54" t="s">
        <v>188</v>
      </c>
    </row>
    <row r="21" spans="1:26" x14ac:dyDescent="0.3">
      <c r="B21" s="48"/>
      <c r="C21" s="49"/>
      <c r="D21" s="38"/>
      <c r="E21" s="38"/>
      <c r="U21" s="57" t="s">
        <v>189</v>
      </c>
    </row>
    <row r="22" spans="1:26" x14ac:dyDescent="0.3">
      <c r="B22" s="48"/>
      <c r="C22" s="49"/>
      <c r="D22" s="38"/>
      <c r="E22" s="38"/>
      <c r="U22" s="57" t="s">
        <v>190</v>
      </c>
    </row>
    <row r="23" spans="1:26" x14ac:dyDescent="0.3">
      <c r="B23" s="48"/>
      <c r="C23" s="49"/>
      <c r="D23" s="38"/>
      <c r="E23" s="38"/>
    </row>
    <row r="24" spans="1:26" x14ac:dyDescent="0.3">
      <c r="B24" s="50"/>
      <c r="C24" s="32"/>
      <c r="D24" s="36"/>
      <c r="E24" s="36"/>
      <c r="U24" s="50" t="s">
        <v>191</v>
      </c>
      <c r="V24" s="67" t="s">
        <v>192</v>
      </c>
      <c r="W24" s="67" t="s">
        <v>193</v>
      </c>
    </row>
    <row r="25" spans="1:26" x14ac:dyDescent="0.3">
      <c r="B25" s="50"/>
      <c r="C25" s="32"/>
      <c r="D25" s="36"/>
      <c r="E25" s="36"/>
      <c r="U25" s="50" t="s">
        <v>194</v>
      </c>
      <c r="V25" s="359">
        <v>37.5</v>
      </c>
      <c r="W25" s="359">
        <v>65</v>
      </c>
    </row>
    <row r="26" spans="1:26" x14ac:dyDescent="0.3">
      <c r="B26" s="48"/>
      <c r="C26" s="49"/>
      <c r="D26" s="38"/>
      <c r="E26" s="38"/>
      <c r="U26" s="50" t="s">
        <v>195</v>
      </c>
      <c r="V26" s="359">
        <v>34.15</v>
      </c>
      <c r="W26" s="359">
        <v>120</v>
      </c>
    </row>
    <row r="27" spans="1:26" x14ac:dyDescent="0.3">
      <c r="B27" s="50"/>
      <c r="C27" s="32"/>
      <c r="D27" s="36"/>
      <c r="E27" s="36"/>
      <c r="U27" s="50" t="s">
        <v>196</v>
      </c>
      <c r="V27" s="359">
        <v>80</v>
      </c>
      <c r="W27" s="359">
        <v>44.25</v>
      </c>
    </row>
    <row r="28" spans="1:26" ht="14.4" x14ac:dyDescent="0.3">
      <c r="B28" s="48"/>
      <c r="C28" s="58"/>
      <c r="D28" s="38"/>
      <c r="E28" s="38"/>
      <c r="F28" s="57"/>
      <c r="U28" s="68" t="s">
        <v>197</v>
      </c>
      <c r="V28" s="59"/>
      <c r="W28" s="69">
        <f>SUM(V25:W27)</f>
        <v>380.9</v>
      </c>
    </row>
    <row r="29" spans="1:26" x14ac:dyDescent="0.3">
      <c r="B29" s="48"/>
      <c r="C29" s="49"/>
      <c r="D29" s="38"/>
      <c r="E29" s="38"/>
      <c r="U29" s="70" t="s">
        <v>210</v>
      </c>
    </row>
    <row r="30" spans="1:26" x14ac:dyDescent="0.3">
      <c r="B30" s="46"/>
      <c r="C30" s="46"/>
      <c r="D30" s="46"/>
      <c r="E30" s="52"/>
    </row>
  </sheetData>
  <mergeCells count="2">
    <mergeCell ref="A1:B1"/>
    <mergeCell ref="B3:B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COSTES LIMONERO VERNA ECO</vt:lpstr>
      <vt:lpstr>AYUDA-1</vt:lpstr>
      <vt:lpstr>AYUDA-2</vt:lpstr>
      <vt:lpstr>'COSTES LIMONERO VERNA ECO'!Área_de_impresión</vt:lpstr>
    </vt:vector>
  </TitlesOfParts>
  <Company>Intersa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Antoniopiku Hernández Espallardo</cp:lastModifiedBy>
  <cp:lastPrinted>2023-02-13T10:06:17Z</cp:lastPrinted>
  <dcterms:created xsi:type="dcterms:W3CDTF">2016-12-15T15:44:47Z</dcterms:created>
  <dcterms:modified xsi:type="dcterms:W3CDTF">2023-03-07T15:21:16Z</dcterms:modified>
</cp:coreProperties>
</file>